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_d\OneDrive\Documentos\URANDI 2019\6-CONSORCIO DE SÁUDE ALTO SERTÃO - GUANAMBI\FINAL\ORÇAMENTO\"/>
    </mc:Choice>
  </mc:AlternateContent>
  <xr:revisionPtr revIDLastSave="34" documentId="13_ncr:1_{059AEAD6-1B49-49B4-A5C1-DC08251AC92A}" xr6:coauthVersionLast="44" xr6:coauthVersionMax="44" xr10:uidLastSave="{264F4A58-6EA5-446F-8B1E-32541F233576}"/>
  <bookViews>
    <workbookView xWindow="-120" yWindow="-120" windowWidth="20730" windowHeight="11160" xr2:uid="{E464B199-BA7D-499C-8980-89A8CA2486E1}"/>
  </bookViews>
  <sheets>
    <sheet name="Planilha1" sheetId="1" r:id="rId1"/>
  </sheets>
  <definedNames>
    <definedName name="_xlnm.Print_Area" localSheetId="0">Planilha1!$A$1:$V$105</definedName>
    <definedName name="_xlnm.Print_Titles" localSheetId="0">Planilha1!$11:$14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8" i="1" l="1"/>
  <c r="E75" i="1"/>
  <c r="E100" i="1"/>
  <c r="E69" i="1"/>
  <c r="E86" i="1"/>
  <c r="E80" i="1"/>
  <c r="E31" i="1"/>
  <c r="E30" i="1"/>
  <c r="E18" i="1"/>
  <c r="E24" i="1"/>
  <c r="K24" i="1" s="1"/>
  <c r="E54" i="1"/>
  <c r="E53" i="1"/>
  <c r="U24" i="1"/>
  <c r="G24" i="1" s="1"/>
  <c r="H24" i="1"/>
  <c r="Q24" i="1"/>
  <c r="T24" i="1"/>
  <c r="N24" i="1" l="1"/>
  <c r="J24" i="1"/>
  <c r="P24" i="1"/>
  <c r="S24" i="1"/>
  <c r="V24" i="1"/>
  <c r="E79" i="1" l="1"/>
  <c r="E74" i="1"/>
  <c r="E47" i="1"/>
  <c r="E46" i="1"/>
  <c r="E45" i="1"/>
  <c r="E41" i="1"/>
  <c r="E87" i="1"/>
  <c r="E23" i="1"/>
  <c r="E20" i="1"/>
  <c r="E16" i="1"/>
  <c r="E63" i="1"/>
  <c r="E88" i="1"/>
  <c r="E21" i="1"/>
  <c r="E94" i="1"/>
  <c r="E95" i="1"/>
  <c r="E96" i="1"/>
  <c r="E93" i="1"/>
  <c r="E77" i="1"/>
  <c r="E76" i="1"/>
  <c r="E58" i="1"/>
  <c r="E52" i="1"/>
  <c r="E51" i="1"/>
  <c r="E40" i="1"/>
  <c r="E39" i="1"/>
  <c r="E25" i="1"/>
  <c r="E22" i="1"/>
  <c r="E19" i="1"/>
  <c r="E70" i="1"/>
  <c r="E68" i="1"/>
  <c r="E67" i="1"/>
  <c r="E66" i="1"/>
  <c r="E65" i="1"/>
  <c r="E64" i="1"/>
  <c r="E62" i="1"/>
  <c r="E36" i="1"/>
  <c r="E28" i="1"/>
  <c r="E29" i="1"/>
  <c r="E26" i="1"/>
  <c r="E17" i="1"/>
  <c r="U86" i="1" l="1"/>
  <c r="G86" i="1" s="1"/>
  <c r="T86" i="1"/>
  <c r="Q86" i="1"/>
  <c r="N86" i="1"/>
  <c r="K86" i="1"/>
  <c r="H86" i="1"/>
  <c r="U95" i="1"/>
  <c r="V95" i="1" s="1"/>
  <c r="T95" i="1"/>
  <c r="Q95" i="1"/>
  <c r="H95" i="1"/>
  <c r="J86" i="1" l="1"/>
  <c r="P86" i="1"/>
  <c r="V86" i="1"/>
  <c r="S86" i="1"/>
  <c r="G95" i="1"/>
  <c r="P95" i="1"/>
  <c r="S95" i="1"/>
  <c r="J95" i="1"/>
  <c r="K95" i="1"/>
  <c r="N95" i="1"/>
  <c r="T25" i="1" l="1"/>
  <c r="Q21" i="1"/>
  <c r="Q22" i="1"/>
  <c r="Q31" i="1"/>
  <c r="N25" i="1"/>
  <c r="K21" i="1"/>
  <c r="K22" i="1"/>
  <c r="K31" i="1"/>
  <c r="H25" i="1"/>
  <c r="K78" i="1"/>
  <c r="N75" i="1"/>
  <c r="Q100" i="1"/>
  <c r="O101" i="1" s="1"/>
  <c r="N80" i="1"/>
  <c r="N37" i="1"/>
  <c r="T31" i="1"/>
  <c r="T30" i="1"/>
  <c r="Q18" i="1"/>
  <c r="N54" i="1"/>
  <c r="T53" i="1"/>
  <c r="T45" i="1"/>
  <c r="N41" i="1"/>
  <c r="Q23" i="1"/>
  <c r="T20" i="1"/>
  <c r="T21" i="1"/>
  <c r="T94" i="1"/>
  <c r="N96" i="1"/>
  <c r="N76" i="1"/>
  <c r="T58" i="1"/>
  <c r="R59" i="1" s="1"/>
  <c r="N36" i="1"/>
  <c r="Q25" i="1"/>
  <c r="T22" i="1"/>
  <c r="Q19" i="1"/>
  <c r="T96" i="1"/>
  <c r="Q67" i="1"/>
  <c r="Q66" i="1"/>
  <c r="U100" i="1"/>
  <c r="S100" i="1" s="1"/>
  <c r="T100" i="1"/>
  <c r="R101" i="1" s="1"/>
  <c r="N100" i="1"/>
  <c r="L101" i="1" s="1"/>
  <c r="K100" i="1"/>
  <c r="I101" i="1" s="1"/>
  <c r="H100" i="1"/>
  <c r="F101" i="1" s="1"/>
  <c r="U96" i="1"/>
  <c r="Q96" i="1"/>
  <c r="U94" i="1"/>
  <c r="V94" i="1" s="1"/>
  <c r="N94" i="1"/>
  <c r="K94" i="1"/>
  <c r="U93" i="1"/>
  <c r="V93" i="1" s="1"/>
  <c r="T93" i="1"/>
  <c r="Q93" i="1"/>
  <c r="N93" i="1"/>
  <c r="K93" i="1"/>
  <c r="H93" i="1"/>
  <c r="U89" i="1"/>
  <c r="V89" i="1" s="1"/>
  <c r="T89" i="1"/>
  <c r="Q89" i="1"/>
  <c r="N89" i="1"/>
  <c r="K89" i="1"/>
  <c r="H89" i="1"/>
  <c r="U88" i="1"/>
  <c r="V88" i="1" s="1"/>
  <c r="T88" i="1"/>
  <c r="Q88" i="1"/>
  <c r="N88" i="1"/>
  <c r="K88" i="1"/>
  <c r="H88" i="1"/>
  <c r="U87" i="1"/>
  <c r="V87" i="1" s="1"/>
  <c r="T87" i="1"/>
  <c r="Q87" i="1"/>
  <c r="N87" i="1"/>
  <c r="K87" i="1"/>
  <c r="H87" i="1"/>
  <c r="U85" i="1"/>
  <c r="V85" i="1" s="1"/>
  <c r="T85" i="1"/>
  <c r="Q85" i="1"/>
  <c r="N85" i="1"/>
  <c r="K85" i="1"/>
  <c r="H85" i="1"/>
  <c r="U84" i="1"/>
  <c r="V84" i="1" s="1"/>
  <c r="T84" i="1"/>
  <c r="Q84" i="1"/>
  <c r="N84" i="1"/>
  <c r="K84" i="1"/>
  <c r="H84" i="1"/>
  <c r="U80" i="1"/>
  <c r="T80" i="1"/>
  <c r="Q80" i="1"/>
  <c r="H80" i="1"/>
  <c r="U79" i="1"/>
  <c r="V79" i="1" s="1"/>
  <c r="T79" i="1"/>
  <c r="Q79" i="1"/>
  <c r="N79" i="1"/>
  <c r="K79" i="1"/>
  <c r="H79" i="1"/>
  <c r="U78" i="1"/>
  <c r="Q78" i="1"/>
  <c r="N78" i="1"/>
  <c r="U77" i="1"/>
  <c r="V77" i="1" s="1"/>
  <c r="T77" i="1"/>
  <c r="Q77" i="1"/>
  <c r="N77" i="1"/>
  <c r="K77" i="1"/>
  <c r="H77" i="1"/>
  <c r="U76" i="1"/>
  <c r="Q76" i="1"/>
  <c r="K76" i="1"/>
  <c r="U75" i="1"/>
  <c r="Q75" i="1"/>
  <c r="U74" i="1"/>
  <c r="V74" i="1" s="1"/>
  <c r="T74" i="1"/>
  <c r="Q74" i="1"/>
  <c r="N74" i="1"/>
  <c r="K74" i="1"/>
  <c r="H74" i="1"/>
  <c r="U70" i="1"/>
  <c r="V70" i="1" s="1"/>
  <c r="T70" i="1"/>
  <c r="Q70" i="1"/>
  <c r="N70" i="1"/>
  <c r="K70" i="1"/>
  <c r="H70" i="1"/>
  <c r="U69" i="1"/>
  <c r="V69" i="1" s="1"/>
  <c r="Q69" i="1"/>
  <c r="U68" i="1"/>
  <c r="V68" i="1" s="1"/>
  <c r="Q68" i="1"/>
  <c r="U67" i="1"/>
  <c r="V67" i="1" s="1"/>
  <c r="U66" i="1"/>
  <c r="U65" i="1"/>
  <c r="V65" i="1" s="1"/>
  <c r="Q65" i="1"/>
  <c r="U64" i="1"/>
  <c r="V64" i="1" s="1"/>
  <c r="Q64" i="1"/>
  <c r="U63" i="1"/>
  <c r="V63" i="1" s="1"/>
  <c r="Q63" i="1"/>
  <c r="U62" i="1"/>
  <c r="Q62" i="1"/>
  <c r="U58" i="1"/>
  <c r="V58" i="1" s="1"/>
  <c r="U59" i="1" s="1"/>
  <c r="K58" i="1"/>
  <c r="I59" i="1" s="1"/>
  <c r="U54" i="1"/>
  <c r="T54" i="1"/>
  <c r="Q54" i="1"/>
  <c r="H54" i="1"/>
  <c r="U53" i="1"/>
  <c r="V53" i="1" s="1"/>
  <c r="K53" i="1"/>
  <c r="U52" i="1"/>
  <c r="V52" i="1" s="1"/>
  <c r="T52" i="1"/>
  <c r="Q52" i="1"/>
  <c r="N52" i="1"/>
  <c r="K52" i="1"/>
  <c r="H52" i="1"/>
  <c r="U51" i="1"/>
  <c r="V51" i="1" s="1"/>
  <c r="T51" i="1"/>
  <c r="Q51" i="1"/>
  <c r="N51" i="1"/>
  <c r="K51" i="1"/>
  <c r="H51" i="1"/>
  <c r="U47" i="1"/>
  <c r="V47" i="1" s="1"/>
  <c r="T47" i="1"/>
  <c r="Q47" i="1"/>
  <c r="N47" i="1"/>
  <c r="K47" i="1"/>
  <c r="H47" i="1"/>
  <c r="U46" i="1"/>
  <c r="V46" i="1" s="1"/>
  <c r="T46" i="1"/>
  <c r="Q46" i="1"/>
  <c r="N46" i="1"/>
  <c r="K46" i="1"/>
  <c r="H46" i="1"/>
  <c r="U45" i="1"/>
  <c r="V45" i="1" s="1"/>
  <c r="N45" i="1"/>
  <c r="K45" i="1"/>
  <c r="U41" i="1"/>
  <c r="Q41" i="1"/>
  <c r="U40" i="1"/>
  <c r="V40" i="1" s="1"/>
  <c r="T40" i="1"/>
  <c r="Q40" i="1"/>
  <c r="N40" i="1"/>
  <c r="K40" i="1"/>
  <c r="H40" i="1"/>
  <c r="U36" i="1"/>
  <c r="Q36" i="1"/>
  <c r="U35" i="1"/>
  <c r="V35" i="1" s="1"/>
  <c r="N35" i="1"/>
  <c r="U37" i="1"/>
  <c r="Q37" i="1"/>
  <c r="U38" i="1"/>
  <c r="V38" i="1" s="1"/>
  <c r="T38" i="1"/>
  <c r="Q38" i="1"/>
  <c r="N38" i="1"/>
  <c r="K38" i="1"/>
  <c r="H38" i="1"/>
  <c r="U39" i="1"/>
  <c r="N39" i="1"/>
  <c r="T39" i="1"/>
  <c r="P79" i="1" l="1"/>
  <c r="K59" i="1"/>
  <c r="V96" i="1"/>
  <c r="H19" i="1"/>
  <c r="N23" i="1"/>
  <c r="Q30" i="1"/>
  <c r="T19" i="1"/>
  <c r="V37" i="1"/>
  <c r="K36" i="1"/>
  <c r="V36" i="1"/>
  <c r="K41" i="1"/>
  <c r="V41" i="1"/>
  <c r="Q45" i="1"/>
  <c r="O48" i="1" s="1"/>
  <c r="Q53" i="1"/>
  <c r="O55" i="1" s="1"/>
  <c r="K54" i="1"/>
  <c r="V54" i="1"/>
  <c r="U55" i="1" s="1"/>
  <c r="Q58" i="1"/>
  <c r="O59" i="1" s="1"/>
  <c r="V62" i="1"/>
  <c r="V66" i="1"/>
  <c r="U71" i="1" s="1"/>
  <c r="K75" i="1"/>
  <c r="V75" i="1"/>
  <c r="T76" i="1"/>
  <c r="H78" i="1"/>
  <c r="T78" i="1"/>
  <c r="S79" i="1"/>
  <c r="K80" i="1"/>
  <c r="V80" i="1"/>
  <c r="U97" i="1"/>
  <c r="Q94" i="1"/>
  <c r="K96" i="1"/>
  <c r="I97" i="1" s="1"/>
  <c r="P100" i="1"/>
  <c r="H31" i="1"/>
  <c r="H22" i="1"/>
  <c r="H18" i="1"/>
  <c r="K25" i="1"/>
  <c r="K20" i="1"/>
  <c r="N31" i="1"/>
  <c r="N22" i="1"/>
  <c r="N18" i="1"/>
  <c r="Q20" i="1"/>
  <c r="T18" i="1"/>
  <c r="H20" i="1"/>
  <c r="K18" i="1"/>
  <c r="N20" i="1"/>
  <c r="H37" i="1"/>
  <c r="T37" i="1"/>
  <c r="H36" i="1"/>
  <c r="T36" i="1"/>
  <c r="H41" i="1"/>
  <c r="T41" i="1"/>
  <c r="R55" i="1"/>
  <c r="N53" i="1"/>
  <c r="N58" i="1"/>
  <c r="L59" i="1" s="1"/>
  <c r="N59" i="1" s="1"/>
  <c r="H75" i="1"/>
  <c r="T75" i="1"/>
  <c r="J79" i="1"/>
  <c r="H96" i="1"/>
  <c r="H23" i="1"/>
  <c r="K30" i="1"/>
  <c r="N19" i="1"/>
  <c r="T23" i="1"/>
  <c r="V39" i="1"/>
  <c r="K37" i="1"/>
  <c r="H45" i="1"/>
  <c r="F48" i="1" s="1"/>
  <c r="H53" i="1"/>
  <c r="F55" i="1" s="1"/>
  <c r="H58" i="1"/>
  <c r="F59" i="1" s="1"/>
  <c r="H59" i="1" s="1"/>
  <c r="H76" i="1"/>
  <c r="V78" i="1"/>
  <c r="L97" i="1"/>
  <c r="H94" i="1"/>
  <c r="J100" i="1"/>
  <c r="H30" i="1"/>
  <c r="H21" i="1"/>
  <c r="K23" i="1"/>
  <c r="K19" i="1"/>
  <c r="N30" i="1"/>
  <c r="N21" i="1"/>
  <c r="V100" i="1"/>
  <c r="U101" i="1" s="1"/>
  <c r="O81" i="1"/>
  <c r="V76" i="1"/>
  <c r="L90" i="1"/>
  <c r="F90" i="1"/>
  <c r="R90" i="1"/>
  <c r="O97" i="1"/>
  <c r="R97" i="1"/>
  <c r="O90" i="1"/>
  <c r="I90" i="1"/>
  <c r="U90" i="1"/>
  <c r="G100" i="1"/>
  <c r="P94" i="1"/>
  <c r="O71" i="1"/>
  <c r="J94" i="1"/>
  <c r="G58" i="1"/>
  <c r="P64" i="1"/>
  <c r="L81" i="1"/>
  <c r="S94" i="1"/>
  <c r="G94" i="1"/>
  <c r="G93" i="1"/>
  <c r="P93" i="1"/>
  <c r="S93" i="1"/>
  <c r="J93" i="1"/>
  <c r="T59" i="1"/>
  <c r="P85" i="1"/>
  <c r="J85" i="1"/>
  <c r="S85" i="1"/>
  <c r="G84" i="1"/>
  <c r="P84" i="1"/>
  <c r="J84" i="1"/>
  <c r="G85" i="1"/>
  <c r="S84" i="1"/>
  <c r="P75" i="1"/>
  <c r="P77" i="1"/>
  <c r="G74" i="1"/>
  <c r="P74" i="1"/>
  <c r="G76" i="1"/>
  <c r="P76" i="1"/>
  <c r="S75" i="1"/>
  <c r="J77" i="1"/>
  <c r="G78" i="1"/>
  <c r="P78" i="1"/>
  <c r="G79" i="1"/>
  <c r="J75" i="1"/>
  <c r="S77" i="1"/>
  <c r="J74" i="1"/>
  <c r="G75" i="1"/>
  <c r="J76" i="1"/>
  <c r="G77" i="1"/>
  <c r="J78" i="1"/>
  <c r="S74" i="1"/>
  <c r="S76" i="1"/>
  <c r="S78" i="1"/>
  <c r="M69" i="1"/>
  <c r="J54" i="1"/>
  <c r="P69" i="1"/>
  <c r="L55" i="1"/>
  <c r="P54" i="1"/>
  <c r="P58" i="1"/>
  <c r="Q59" i="1"/>
  <c r="S58" i="1"/>
  <c r="S64" i="1"/>
  <c r="G64" i="1"/>
  <c r="G66" i="1"/>
  <c r="G65" i="1"/>
  <c r="G62" i="1"/>
  <c r="P65" i="1"/>
  <c r="J62" i="1"/>
  <c r="S65" i="1"/>
  <c r="S67" i="1"/>
  <c r="P68" i="1"/>
  <c r="P62" i="1"/>
  <c r="G63" i="1"/>
  <c r="P66" i="1"/>
  <c r="S62" i="1"/>
  <c r="P63" i="1"/>
  <c r="S66" i="1"/>
  <c r="G67" i="1"/>
  <c r="S68" i="1"/>
  <c r="S69" i="1"/>
  <c r="S63" i="1"/>
  <c r="P67" i="1"/>
  <c r="G69" i="1"/>
  <c r="N69" i="1"/>
  <c r="T69" i="1"/>
  <c r="H69" i="1"/>
  <c r="K69" i="1"/>
  <c r="J69" i="1"/>
  <c r="K68" i="1"/>
  <c r="G68" i="1"/>
  <c r="N68" i="1"/>
  <c r="T68" i="1"/>
  <c r="H68" i="1"/>
  <c r="J68" i="1"/>
  <c r="N67" i="1"/>
  <c r="T67" i="1"/>
  <c r="K67" i="1"/>
  <c r="H67" i="1"/>
  <c r="J67" i="1"/>
  <c r="N66" i="1"/>
  <c r="T66" i="1"/>
  <c r="K66" i="1"/>
  <c r="H66" i="1"/>
  <c r="J66" i="1"/>
  <c r="H65" i="1"/>
  <c r="K65" i="1"/>
  <c r="N65" i="1"/>
  <c r="T65" i="1"/>
  <c r="J65" i="1"/>
  <c r="N64" i="1"/>
  <c r="T64" i="1"/>
  <c r="H64" i="1"/>
  <c r="K64" i="1"/>
  <c r="J64" i="1"/>
  <c r="N63" i="1"/>
  <c r="T63" i="1"/>
  <c r="H63" i="1"/>
  <c r="K63" i="1"/>
  <c r="J63" i="1"/>
  <c r="N62" i="1"/>
  <c r="T62" i="1"/>
  <c r="K62" i="1"/>
  <c r="H62" i="1"/>
  <c r="J58" i="1"/>
  <c r="G53" i="1"/>
  <c r="P53" i="1"/>
  <c r="J53" i="1"/>
  <c r="S53" i="1"/>
  <c r="L42" i="1"/>
  <c r="R48" i="1"/>
  <c r="L48" i="1"/>
  <c r="J39" i="1"/>
  <c r="I48" i="1"/>
  <c r="U48" i="1"/>
  <c r="G37" i="1"/>
  <c r="G39" i="1"/>
  <c r="G38" i="1"/>
  <c r="T35" i="1"/>
  <c r="Q35" i="1"/>
  <c r="H35" i="1"/>
  <c r="K35" i="1"/>
  <c r="S37" i="1"/>
  <c r="P37" i="1"/>
  <c r="J37" i="1"/>
  <c r="S38" i="1"/>
  <c r="P38" i="1"/>
  <c r="J38" i="1"/>
  <c r="P39" i="1"/>
  <c r="S39" i="1"/>
  <c r="H39" i="1"/>
  <c r="Q39" i="1"/>
  <c r="K39" i="1"/>
  <c r="K16" i="1"/>
  <c r="U23" i="1"/>
  <c r="U25" i="1"/>
  <c r="U26" i="1"/>
  <c r="U27" i="1"/>
  <c r="U28" i="1"/>
  <c r="S28" i="1" s="1"/>
  <c r="U29" i="1"/>
  <c r="S29" i="1" s="1"/>
  <c r="U30" i="1"/>
  <c r="U31" i="1"/>
  <c r="U20" i="1"/>
  <c r="U21" i="1"/>
  <c r="S21" i="1" s="1"/>
  <c r="U22" i="1"/>
  <c r="V22" i="1" s="1"/>
  <c r="U18" i="1"/>
  <c r="V18" i="1" s="1"/>
  <c r="U19" i="1"/>
  <c r="U17" i="1"/>
  <c r="U16" i="1"/>
  <c r="T101" i="1" l="1"/>
  <c r="I81" i="1"/>
  <c r="I55" i="1"/>
  <c r="K55" i="1" s="1"/>
  <c r="U42" i="1"/>
  <c r="N42" i="1" s="1"/>
  <c r="Q101" i="1"/>
  <c r="R81" i="1"/>
  <c r="F97" i="1"/>
  <c r="N101" i="1"/>
  <c r="K101" i="1"/>
  <c r="H101" i="1"/>
  <c r="F81" i="1"/>
  <c r="R42" i="1"/>
  <c r="T42" i="1" s="1"/>
  <c r="U81" i="1"/>
  <c r="Q81" i="1" s="1"/>
  <c r="T29" i="1"/>
  <c r="N29" i="1"/>
  <c r="H29" i="1"/>
  <c r="Q29" i="1"/>
  <c r="K29" i="1"/>
  <c r="T26" i="1"/>
  <c r="N26" i="1"/>
  <c r="H26" i="1"/>
  <c r="Q26" i="1"/>
  <c r="K26" i="1"/>
  <c r="Q27" i="1"/>
  <c r="K27" i="1"/>
  <c r="T27" i="1"/>
  <c r="N27" i="1"/>
  <c r="H27" i="1"/>
  <c r="T17" i="1"/>
  <c r="N17" i="1"/>
  <c r="H17" i="1"/>
  <c r="Q17" i="1"/>
  <c r="K17" i="1"/>
  <c r="Q28" i="1"/>
  <c r="K28" i="1"/>
  <c r="N28" i="1"/>
  <c r="H28" i="1"/>
  <c r="T28" i="1"/>
  <c r="T90" i="1"/>
  <c r="Q97" i="1"/>
  <c r="K97" i="1"/>
  <c r="T97" i="1"/>
  <c r="N97" i="1"/>
  <c r="K90" i="1"/>
  <c r="Q90" i="1"/>
  <c r="H90" i="1"/>
  <c r="N90" i="1"/>
  <c r="Q71" i="1"/>
  <c r="R71" i="1"/>
  <c r="L71" i="1"/>
  <c r="N71" i="1" s="1"/>
  <c r="F71" i="1"/>
  <c r="I71" i="1"/>
  <c r="K71" i="1" s="1"/>
  <c r="N55" i="1"/>
  <c r="V30" i="1"/>
  <c r="V17" i="1"/>
  <c r="T55" i="1"/>
  <c r="H55" i="1"/>
  <c r="Q55" i="1"/>
  <c r="V26" i="1"/>
  <c r="V25" i="1"/>
  <c r="V19" i="1"/>
  <c r="V23" i="1"/>
  <c r="F42" i="1"/>
  <c r="H16" i="1"/>
  <c r="Q16" i="1"/>
  <c r="V27" i="1"/>
  <c r="J18" i="1"/>
  <c r="V16" i="1"/>
  <c r="P18" i="1"/>
  <c r="N16" i="1"/>
  <c r="T16" i="1"/>
  <c r="S18" i="1"/>
  <c r="V20" i="1"/>
  <c r="O42" i="1"/>
  <c r="V31" i="1"/>
  <c r="G18" i="1"/>
  <c r="I42" i="1"/>
  <c r="G29" i="1"/>
  <c r="J29" i="1"/>
  <c r="P29" i="1"/>
  <c r="V29" i="1"/>
  <c r="V28" i="1"/>
  <c r="J28" i="1"/>
  <c r="G28" i="1"/>
  <c r="P28" i="1"/>
  <c r="G27" i="1"/>
  <c r="J27" i="1"/>
  <c r="P27" i="1"/>
  <c r="S27" i="1"/>
  <c r="P26" i="1"/>
  <c r="G26" i="1"/>
  <c r="J26" i="1"/>
  <c r="S26" i="1"/>
  <c r="G21" i="1"/>
  <c r="V21" i="1"/>
  <c r="P21" i="1"/>
  <c r="J21" i="1"/>
  <c r="H42" i="1" l="1"/>
  <c r="Q42" i="1"/>
  <c r="K42" i="1"/>
  <c r="H97" i="1"/>
  <c r="N81" i="1"/>
  <c r="K81" i="1"/>
  <c r="H81" i="1"/>
  <c r="T81" i="1"/>
  <c r="T71" i="1"/>
  <c r="H71" i="1"/>
  <c r="R32" i="1"/>
  <c r="R104" i="1" s="1"/>
  <c r="O32" i="1"/>
  <c r="O104" i="1" s="1"/>
  <c r="I32" i="1"/>
  <c r="I104" i="1" s="1"/>
  <c r="F32" i="1"/>
  <c r="F104" i="1" s="1"/>
  <c r="L32" i="1"/>
  <c r="L104" i="1" s="1"/>
  <c r="U32" i="1"/>
  <c r="U104" i="1" s="1"/>
  <c r="V109" i="1" s="1"/>
  <c r="V112" i="1" s="1"/>
  <c r="N110" i="1" l="1"/>
  <c r="Q104" i="1"/>
  <c r="N104" i="1"/>
  <c r="T104" i="1"/>
  <c r="H104" i="1"/>
  <c r="K104" i="1"/>
  <c r="K32" i="1"/>
  <c r="Q32" i="1"/>
  <c r="N32" i="1"/>
  <c r="H32" i="1"/>
  <c r="T32" i="1"/>
  <c r="N111" i="1" l="1"/>
  <c r="Q48" i="1" l="1"/>
  <c r="K48" i="1"/>
  <c r="N48" i="1"/>
  <c r="H48" i="1"/>
  <c r="T48" i="1"/>
</calcChain>
</file>

<file path=xl/sharedStrings.xml><?xml version="1.0" encoding="utf-8"?>
<sst xmlns="http://schemas.openxmlformats.org/spreadsheetml/2006/main" count="303" uniqueCount="231">
  <si>
    <t>M2</t>
  </si>
  <si>
    <t>QTD.</t>
  </si>
  <si>
    <t>M</t>
  </si>
  <si>
    <t>PINTURA</t>
  </si>
  <si>
    <t>DESCRIÇÃO</t>
  </si>
  <si>
    <t>UND.</t>
  </si>
  <si>
    <t>1.0</t>
  </si>
  <si>
    <t>PREÇO
TOTAL</t>
  </si>
  <si>
    <t>MASSA ÚNICA, PARA RECEBIMENTO DE PINTURA, EM ARGAMASSA TRAÇO 1:2:8, PREPARO MECÂNICO COM BETONEIRA 400L, APLICADA MANUALMENTE EM FACES INTERNAS DE PAREDES, ESPESSURA DE 20MM, COM EXECUÇÃO DE TALISCAS. AF_06/2014</t>
  </si>
  <si>
    <t>UN</t>
  </si>
  <si>
    <t>REF.</t>
  </si>
  <si>
    <t>M3</t>
  </si>
  <si>
    <t>2.0</t>
  </si>
  <si>
    <t>3.0</t>
  </si>
  <si>
    <t>1.1</t>
  </si>
  <si>
    <t>2.1</t>
  </si>
  <si>
    <t>3.1</t>
  </si>
  <si>
    <t>3.2</t>
  </si>
  <si>
    <t>4.0</t>
  </si>
  <si>
    <t>4.1</t>
  </si>
  <si>
    <t>4.2</t>
  </si>
  <si>
    <t>5.0</t>
  </si>
  <si>
    <t>5.1</t>
  </si>
  <si>
    <t>6.0</t>
  </si>
  <si>
    <t>6.1</t>
  </si>
  <si>
    <t>7.0</t>
  </si>
  <si>
    <t>7.1</t>
  </si>
  <si>
    <t>7.2</t>
  </si>
  <si>
    <t>7.3</t>
  </si>
  <si>
    <t>8.0</t>
  </si>
  <si>
    <t>8.1</t>
  </si>
  <si>
    <t>8.2</t>
  </si>
  <si>
    <t>8.3</t>
  </si>
  <si>
    <t>9.0</t>
  </si>
  <si>
    <t>BDI</t>
  </si>
  <si>
    <t>2.2</t>
  </si>
  <si>
    <t>2.3</t>
  </si>
  <si>
    <t>2.4</t>
  </si>
  <si>
    <t>EQUIPAMENTOS</t>
  </si>
  <si>
    <t>LIMPEZA</t>
  </si>
  <si>
    <t>LIMPEZA GERAL</t>
  </si>
  <si>
    <t>ORSE
2450</t>
  </si>
  <si>
    <t>3.3</t>
  </si>
  <si>
    <t>4.3</t>
  </si>
  <si>
    <t>4.4</t>
  </si>
  <si>
    <t>DEMOLIÇÃO</t>
  </si>
  <si>
    <t>DEMOLIÇÃO MANUAL DE PISO CIMENTADO SOBRE LASTRO DE CONCRETO - REV 01</t>
  </si>
  <si>
    <t>ORSE
00016</t>
  </si>
  <si>
    <t>REMOÇÃO DE BANCADA DE GRANITO (OU MÁRMORE)</t>
  </si>
  <si>
    <t>ORSE
08387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</si>
  <si>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</si>
  <si>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</si>
  <si>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</si>
  <si>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</si>
  <si>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</si>
  <si>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</si>
  <si>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</si>
  <si>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</si>
  <si>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</si>
  <si>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</si>
  <si>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PISO/REVESTIMENTO</t>
  </si>
  <si>
    <t>PISO TÁTIL DIRECIONAL E/OU ALERTA, DE CONCRETO, COLORIDO, P/DEFICIENTES VISUAIS, DIMENSÕES 25X25CM, APLICADO COM ARGAMASSA INDUSTRIALIZADA AC-II, REJUNTADO, EXCLUSIVE REGULARIZAÇÃO DE BASE</t>
  </si>
  <si>
    <t>ORSE
07324</t>
  </si>
  <si>
    <t>REVESTIMENTO CERÂMICO PARA PISO OU PAREDE, 30 X 60 CM, LINHA CETIM BIANCO OU SIMILAR, PORTOBELLO OU SIMILAR, APLICADO COM ARGAMASSA INDUSTRIALIZADA AC-I, REJUNTADO, EXCLUSIVE REGULARIZAÇÃO DE BASE OU EMBOÇO</t>
  </si>
  <si>
    <t>ORSE
12418</t>
  </si>
  <si>
    <t>ALVENARIA DE VEDAÇÃO</t>
  </si>
  <si>
    <t>ALVENARIA DE VEDAÇÃO DE BLOCOS CERÂMICOS FURADOS NA VERTICAL DE 19X19X39CM (ESPESSURA 19CM) DE PAREDES COM ÁREA LÍQUIDA MAIOR OU IGUAL A 6M² COM VÃOS E ARGAMASSA DE ASSENTAMENTO COM PREPARO MANUAL. AF_06/2014</t>
  </si>
  <si>
    <t>SINAPI
87494</t>
  </si>
  <si>
    <t>CHAPISCO APLICADO EM ALVENARIAS E ESTRUTURAS DE CONCRETO INTERNAS, COM COLHER DE PEDREIRO.  ARGAMASSA TRAÇO 1:3 COM PREPARO MANUAL. AF_06/2014</t>
  </si>
  <si>
    <t>SINAPI
87878</t>
  </si>
  <si>
    <t>SINAPI
87529</t>
  </si>
  <si>
    <t>ESQUADRIAS</t>
  </si>
  <si>
    <t>COBERTURA</t>
  </si>
  <si>
    <t>FORRO DE PVC, EM PLACAS 1,25 X 0,625, COR BRANCA OU PALHA, MARCA MEDABIL OU SIMILAR, INCLUSIVE ESTRUTURA DE FIXAÇÃO (PERFÍS), INSTALADO</t>
  </si>
  <si>
    <t>ORSE
05045</t>
  </si>
  <si>
    <t>HIDROSANITÁRIO</t>
  </si>
  <si>
    <t>PONTO DE ÁGUA FRIA EMBUTIDO, C/MATERIAL PVC RÍGIDO SOLDÁVEL Ø 25MM</t>
  </si>
  <si>
    <t>ORSE
01200</t>
  </si>
  <si>
    <t>PONTO DE ESGOTO COM TUBO DE PVC RÍGIDO SOLDÁVEL DE Ø 40 MM (LAVATÓRIOS, MICTÓRIOS, RALOS SIFONADOS, ETC...)</t>
  </si>
  <si>
    <t>ORSE
01679</t>
  </si>
  <si>
    <t>TUBO PVC RÍGIDO SOLDÁVEL MARROM P/ ÁGUA, D = 25 MM (3/4")</t>
  </si>
  <si>
    <t>ORSE
01028</t>
  </si>
  <si>
    <t>CAIXA DE GORDURA EM PVC, MÚLTIPLA</t>
  </si>
  <si>
    <t>ORSE
03162</t>
  </si>
  <si>
    <t>6.2</t>
  </si>
  <si>
    <t>6.3</t>
  </si>
  <si>
    <t>6.4</t>
  </si>
  <si>
    <t>6.5</t>
  </si>
  <si>
    <t>6.6</t>
  </si>
  <si>
    <t>6.7</t>
  </si>
  <si>
    <t>6.8</t>
  </si>
  <si>
    <t>PT</t>
  </si>
  <si>
    <t>6.9</t>
  </si>
  <si>
    <t>PLACA DE INDICATIVA DE "EXTINTOR" EM PVC, DIM.: 20 X 20 CM</t>
  </si>
  <si>
    <t>ORSE
12138</t>
  </si>
  <si>
    <t>FORNECIMENTO E INSTALAÇÃO DE EXTINTOR DE INCÊNDIO, PÓ QUÍMICO SÊCO - PQS, ABC - 12KG</t>
  </si>
  <si>
    <t>ORSE
12315</t>
  </si>
  <si>
    <t>EMASSAMENTO DE SUPERFÍCIE, COM APLICAÇÃO DE 02 DEMÃOS DE MASSA CORRIDA - R1</t>
  </si>
  <si>
    <t>ORSE
08623</t>
  </si>
  <si>
    <t>EMASSAMENTO DE SUPERFÍCIE, COM APLICAÇÃO DE 02 DEMÃOS DE MASSA ACRÍLICA, LIXAMENTO E RETOQUES - REV 01</t>
  </si>
  <si>
    <t>ORSE
08624</t>
  </si>
  <si>
    <t>EMASSAMENTO DE SUPERFÍCIE, COM APLICAÇÃO DE 01 DEMÃO DE MASSA A ÓLEO, LIXAMENTO E RETOQUES</t>
  </si>
  <si>
    <t>ORSE
02303</t>
  </si>
  <si>
    <t>PINTURA DE ACABAMENTO COM LIXAMENTO E APLICAÇÃO DE 02 DEMÃOS DE ESMALTE SINTÉTICO BRILHANTE SOBRE MADEIRA (SUVINIL OU SIMILAR)</t>
  </si>
  <si>
    <t>ORSE
09484</t>
  </si>
  <si>
    <t>PINTURA DE ACABAMENTO COM APLICAÇÃO DE 02 DEMÃOS DE TINTA PVA LATEX PARA EXTERIORES - CORES CONVENCIONAIS</t>
  </si>
  <si>
    <t>ORSE
02287</t>
  </si>
  <si>
    <t>PINTURA DE ACABAMENTO COM APLICAÇÃO DE 02 DEMÃOS DE TINTA PVA LATEX PARA INTERIORES - CORES CONVENCIONAIS</t>
  </si>
  <si>
    <t>ORSE
02285</t>
  </si>
  <si>
    <t>7.4</t>
  </si>
  <si>
    <t>9.1</t>
  </si>
  <si>
    <t>M3XKM</t>
  </si>
  <si>
    <t>REGISTRO GAVETA BRUTO, D = 25 MM (1") - REF.1502-B, PN16, DECA OU SIMILAR</t>
  </si>
  <si>
    <t>ORSE
01457</t>
  </si>
  <si>
    <t>*CAIXA DE PASSAGEM CP1-060 (40X40X60CM)</t>
  </si>
  <si>
    <t>ORSE
06386</t>
  </si>
  <si>
    <t>PLANLIHA ORÇAMENTÁRIA</t>
  </si>
  <si>
    <t>CARGA MANUAL DE ENTULHO EM CAMINHAO BASCULANTE 6 M3</t>
  </si>
  <si>
    <t>SINAPI
72897</t>
  </si>
  <si>
    <t>TRANSPORTE COM CAMINHÃO BASCULANTE DE 6 M3, EM VIA URBANA PAVIMENTADA, DMT ATÉ 30 KM (UNIDADE: M3XKM). AF_01/2018</t>
  </si>
  <si>
    <t>SINAPI
97914</t>
  </si>
  <si>
    <t>EXECUÇÃO DE PASSEIO (CALÇADA) OU PISO DE CONCRETO COM CONCRETO MOLDADO IN LOCO, FEITO EM OBRA, ACABAMENTO CONVENCIONAL, NÃO ARMADO. AF_07/2016</t>
  </si>
  <si>
    <t>SINAPI
94990</t>
  </si>
  <si>
    <t>REVESTIMENTO CERÂMICO PARA PISO OU PAREDE, 50 X 50 CM, ELIANE, LINHA BIANCO PLUS PO OU SIMILAR, APLICADO COM ARGAMASSA INDUSTRIALIZADA AC-II, REJUNTADO, EXCLUSIVE REGULARIZAÇÃO DE BASE OU EMBOÇO</t>
  </si>
  <si>
    <t>ORSE
10617</t>
  </si>
  <si>
    <t>PORTA DE MADEIRA PARA PINTURA, SEMI-OCA (LEVE OU MÉDIA), 80X210CM, ESPESSURA DE 3,5CM, INCLUSO DOBRADIÇAS - FORNECIMENTO E INSTALAÇÃO. AF_08/2015</t>
  </si>
  <si>
    <t>SINAPI
90822</t>
  </si>
  <si>
    <t>FECHADURA DE EMBUTIR COM CILINDRO, EXTERNA, COMPLETA, ACABAMENTO PADRÃO MÉDIO, INCLUSO EXECUÇÃO DE FURO - FORNECIMENTO E INSTALAÇÃO. AF_08/2015</t>
  </si>
  <si>
    <t>SINAPI
90830</t>
  </si>
  <si>
    <t>7.5</t>
  </si>
  <si>
    <t>7.6</t>
  </si>
  <si>
    <t>CONTRAVERGA PRÉ-MOLDADA PARA VÃOS DE ATÉ 1,5 M DE COMPRIMENTO. AF_03/2016</t>
  </si>
  <si>
    <t>SINAPI
93194</t>
  </si>
  <si>
    <t>JANELA EM ALUMÍNIO, COR N/P/B, TIPO MOLDURA-VIDRO, DE CORRER, EXCLUSIVE VIDRO</t>
  </si>
  <si>
    <t>ORSE
11941</t>
  </si>
  <si>
    <t>PIA DE COZINHA COM BANCADA EM AÇO INOX, DIM 1,40X0,60, COM 01 CUBA, SIFÃO CROMADO, VÁLVULA CROMADA, TORNEIRA CROMADA, CONCRETADA E ASSENTADA.</t>
  </si>
  <si>
    <t>ORSE
02104</t>
  </si>
  <si>
    <t>ORSE
02499</t>
  </si>
  <si>
    <t>ORSE
00072</t>
  </si>
  <si>
    <t>ORSE
02481</t>
  </si>
  <si>
    <t>ORSE
02483</t>
  </si>
  <si>
    <t>ARGAMASSA TRAÇO 1:4 (CIMENTO E AREIA MÉDIA) PARA CONTRAPISO, PREPARO MANUAL. AF_06/2014</t>
  </si>
  <si>
    <t>SINAPI
87373</t>
  </si>
  <si>
    <t>SOLEIRA EM GRANITO, LARGURA 15 CM, ESPESSURA 2,0 CM. AF_06/2018</t>
  </si>
  <si>
    <t>SINAPI
98689</t>
  </si>
  <si>
    <t>PEITORIL EM MARMORE BRANCO, LARGURA DE 25CM, ASSENTADO COM ARGAMASSA TRACO 1:3 (CIMENTO E AREIA MEDIA), PREPARO MANUAL DA ARGAMASSA</t>
  </si>
  <si>
    <t>SINAPI
84089</t>
  </si>
  <si>
    <t>RALO SIFONADO, PVC, DN 100 X 40 MM, JUNTA SOLDÁVEL, FORNECIDO E INSTALADO EM RAMAL DE DESCARGA OU EM RAMAL DE ESGOTO SANITÁRIO. AF_12/2014</t>
  </si>
  <si>
    <t>SINAPI
89709</t>
  </si>
  <si>
    <t>ORSE
03298</t>
  </si>
  <si>
    <t>PONTO DE TOMADA 2P+T, ABNT, DE EMBUTIR, 10 A, COM ELETRODUTO DE PVC FLEXÍVEL SANFONADO EMBUTIDO Ø 3/4", FIO RIGIDO 2,5MM² (FIO 12), INCLUSIVE PLACA EM PVC E ATERRAMENTO</t>
  </si>
  <si>
    <t>ORSE
03954</t>
  </si>
  <si>
    <t>LUMINÁRIA CALHA SOBREPOR P/LAMP.FLUORESCENTE 2X40W, COMPLETA, INCL.REATOR PARTIDA RÁPIDA E LAMPADAS - REV. 01</t>
  </si>
  <si>
    <t>SINAPI
92000</t>
  </si>
  <si>
    <t>TOMADA BAIXA DE EMBUTIR (1 MÓDULO), 2P+T 10 A, INCLUINDO SUPORTE E PLACA - FORNECIMENTO E INSTALAÇÃO. AF_12/2015</t>
  </si>
  <si>
    <t>ORSE
11150</t>
  </si>
  <si>
    <t>PINTURA ACRILICA EM PISO CIMENTADO DUAS DEMAOS</t>
  </si>
  <si>
    <t>SINAPI
74245/1</t>
  </si>
  <si>
    <t>VERGA MOLDADA IN LOCO EM CONCRETO PARA JANELAS COM ATÉ 1,5 M DE VÃO. AF_03/2016</t>
  </si>
  <si>
    <t>SINAPI
93186</t>
  </si>
  <si>
    <t>VERGA PRÉ-MOLDADA PARA PORTAS COM ATÉ 1,5 M DE VÃO. AF_03/2016</t>
  </si>
  <si>
    <t>SINAPI
93184</t>
  </si>
  <si>
    <t>SINAPI
97622</t>
  </si>
  <si>
    <t>DEMOLIÇÃO DE ALVENARIA DE BLOCO FURADO, DE FORMA MANUAL, SEM REAPROVEITAMENTO. AF_12/2017</t>
  </si>
  <si>
    <t>%</t>
  </si>
  <si>
    <t>PREÇO
UNITÁRIO
TOTAL</t>
  </si>
  <si>
    <r>
      <t>OBRA:</t>
    </r>
    <r>
      <rPr>
        <sz val="11"/>
        <rFont val="Times New Roman"/>
        <family val="1"/>
      </rPr>
      <t>REFORMA DE EDIFICAÇÃO</t>
    </r>
    <r>
      <rPr>
        <b/>
        <sz val="11"/>
        <rFont val="Times New Roman"/>
        <family val="1"/>
      </rPr>
      <t xml:space="preserve"> </t>
    </r>
  </si>
  <si>
    <t>DEMOLIÇÃO DE RODAPÉ CERÂMICO, DE FORMA MANUAL, SEM REAPROVEITAMENTO. AF_12/2017</t>
  </si>
  <si>
    <t>SINAPI
97632</t>
  </si>
  <si>
    <t>DEMOLIÇÃO DE REVESTIMENTO CERÂMICO, DE FORMA MANUAL, SEM REAPROVEITAMENTO. AF_12/2017</t>
  </si>
  <si>
    <t>SINAPI
97633</t>
  </si>
  <si>
    <t>REMOÇÃO DE TRAMA METÁLICA OU DE MADEIRA PARA FORRO, DE FORMA MANUAL, SEM REAPROVEITAMENTO. AF_12/2017</t>
  </si>
  <si>
    <t>SINAPI
97642</t>
  </si>
  <si>
    <t>REMOÇÃO DE PORTAS, DE FORMA MANUAL, SEM REAPROVEITAMENTO. AF_12/2017</t>
  </si>
  <si>
    <t>SINAPI
97644</t>
  </si>
  <si>
    <t>REMOÇÃO DE JANELAS, DE FORMA MANUAL, SEM REAPROVEITAMENTO. AF_12/2017</t>
  </si>
  <si>
    <t>SINAPI
97645</t>
  </si>
  <si>
    <t>REMOÇÃO DE LUMINÁRIAS, DE FORMA MANUAL, SEM REAPROVEITAMENTO. AF_12/2017</t>
  </si>
  <si>
    <t>SINAPI
97665</t>
  </si>
  <si>
    <t>EQUIPAMENTO</t>
  </si>
  <si>
    <t>MÃO DE OBRA</t>
  </si>
  <si>
    <t>MATERIAL</t>
  </si>
  <si>
    <t>ENC. SOCIAL</t>
  </si>
  <si>
    <t>ESCAVAÇÃO MANUAL DE VALA OU CAVA EM MATERIAL DE 2ª CATEGORIA, PROFUNDIDADE ATÉ 1,50M</t>
  </si>
  <si>
    <t>REATERRO MANUAL DE VALAS, COM COMPACTAÇÃO UTILIZANDO SÊPO, SEM CONTROLE DO GRAU DE COMPACTAÇÃO</t>
  </si>
  <si>
    <t>EXECUÇÃO DE RASGOS EM ALVENARIA PARA PASSAGEM DE TUBULAÇÃO</t>
  </si>
  <si>
    <t xml:space="preserve">ENCHIMENTO DE RASGOS EM ALVENARIA E CONCRETO PARA TUBULAÇÃO DIÂM 1/2" A 1" </t>
  </si>
  <si>
    <t>1.12</t>
  </si>
  <si>
    <t>1.13</t>
  </si>
  <si>
    <t>1.14</t>
  </si>
  <si>
    <t>1.15</t>
  </si>
  <si>
    <t>SUB TOTAIS</t>
  </si>
  <si>
    <t>UNT.R$</t>
  </si>
  <si>
    <t>T.I. R$</t>
  </si>
  <si>
    <t>2.5</t>
  </si>
  <si>
    <t>2.6</t>
  </si>
  <si>
    <t>2.7</t>
  </si>
  <si>
    <t>BANCADA EM GRANITO VERDE UBATUBA, E = 2CM</t>
  </si>
  <si>
    <t>TOTAL GERAL</t>
  </si>
  <si>
    <t>TERCEIROS</t>
  </si>
  <si>
    <t>10.0</t>
  </si>
  <si>
    <t>10.1</t>
  </si>
  <si>
    <t>9.2</t>
  </si>
  <si>
    <t>9.3</t>
  </si>
  <si>
    <t>8.4</t>
  </si>
  <si>
    <t>8.5</t>
  </si>
  <si>
    <t>7.7</t>
  </si>
  <si>
    <t>PREÇO UNITÁRIO</t>
  </si>
  <si>
    <t>ELETRICA / LÓGICA</t>
  </si>
  <si>
    <t>PONTO PARA CABEAMENTO ESTRUTURADO EMBUTIDO, COM ELETRODUTO PVC RÍGIDO Ø 3/4" C/CABO UTP 4 PARES CAT. 5E</t>
  </si>
  <si>
    <t>9.4</t>
  </si>
  <si>
    <t>ORSE
05006</t>
  </si>
  <si>
    <t>SINALIZAÇÃO DIURNA COM TELA TAPUME EM PVC - 10 USOS</t>
  </si>
  <si>
    <t>ORSE
05158</t>
  </si>
  <si>
    <t>TOTAL C/ BDI</t>
  </si>
  <si>
    <t>TERCEIROS C/ BDI</t>
  </si>
  <si>
    <t>ENC. SOCIAL C/ BDI</t>
  </si>
  <si>
    <t>EQUIPAMENTO C / BDI</t>
  </si>
  <si>
    <t>MATERIAL C/ BDI</t>
  </si>
  <si>
    <t>MÃO DE OBRA C/ BDI</t>
  </si>
  <si>
    <t>8.6</t>
  </si>
  <si>
    <r>
      <t xml:space="preserve">FONTE DE COMPOSIÇÃO: </t>
    </r>
    <r>
      <rPr>
        <sz val="11"/>
        <rFont val="Times New Roman"/>
        <family val="1"/>
      </rPr>
      <t>SINAPI AGOSTO/2019 SEM DESONERAÇÃO
                                                     ORSE JUNHO/2019</t>
    </r>
  </si>
  <si>
    <t>VIDRO TEMPERADO 8 MM, LISO, TRANSPARENTE</t>
  </si>
  <si>
    <t>ORSE
01884</t>
  </si>
  <si>
    <t>REMOÇÃO E REASSENTAMENTO DE ESQUADRIA DE ALUMÍNIO E VIDRO</t>
  </si>
  <si>
    <t>ORSE
12344</t>
  </si>
  <si>
    <t>1.16</t>
  </si>
  <si>
    <r>
      <t xml:space="preserve">ENDEREÇO: </t>
    </r>
    <r>
      <rPr>
        <sz val="11"/>
        <rFont val="Times New Roman"/>
        <family val="1"/>
      </rPr>
      <t xml:space="preserve">AV. MESSIAS PEREIRA DONATO, S/N, BAIRRO AEROPORTO VELHO, GUANAMBI, BA CEP: 46430-000
CEP: 46430-000
</t>
    </r>
  </si>
  <si>
    <r>
      <t xml:space="preserve">PROPRIETÁRIO: </t>
    </r>
    <r>
      <rPr>
        <sz val="11"/>
        <rFont val="Times New Roman"/>
        <family val="1"/>
      </rPr>
      <t>CONSORCIO PÚBLICO INTERFEDERATIVO DA SAÚDE DA REGIÃO DO ALTO SERTÃO</t>
    </r>
  </si>
  <si>
    <r>
      <t xml:space="preserve">CNPJ: </t>
    </r>
    <r>
      <rPr>
        <sz val="11"/>
        <rFont val="Times New Roman"/>
        <family val="1"/>
      </rPr>
      <t>27.024.544/0001-40</t>
    </r>
  </si>
  <si>
    <t>OUTUBRO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</si>
</sst>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5" fillId="0" borderId="0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11" fillId="2" borderId="1" xfId="2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Border="1"/>
    <xf numFmtId="165" fontId="5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5" fillId="0" borderId="0" xfId="1" applyFont="1" applyAlignment="1">
      <alignment horizontal="center" vertical="center"/>
    </xf>
    <xf numFmtId="164" fontId="10" fillId="0" borderId="0" xfId="1" applyFont="1" applyBorder="1"/>
    <xf numFmtId="0" fontId="5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4" fontId="13" fillId="2" borderId="1" xfId="2" applyNumberFormat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9" fontId="5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14" fillId="0" borderId="0" xfId="3" applyNumberFormat="1" applyFont="1" applyAlignment="1">
      <alignment vertical="center"/>
    </xf>
    <xf numFmtId="0" fontId="5" fillId="0" borderId="1" xfId="0" applyFont="1" applyBorder="1"/>
    <xf numFmtId="0" fontId="10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8" fillId="0" borderId="1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9" fontId="18" fillId="0" borderId="1" xfId="3" applyFont="1" applyFill="1" applyBorder="1"/>
    <xf numFmtId="9" fontId="8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65" fontId="5" fillId="0" borderId="1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right" vertical="center" wrapText="1"/>
    </xf>
    <xf numFmtId="164" fontId="8" fillId="0" borderId="1" xfId="1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10" fontId="8" fillId="0" borderId="6" xfId="0" applyNumberFormat="1" applyFont="1" applyFill="1" applyBorder="1" applyAlignment="1">
      <alignment horizontal="left" vertical="center"/>
    </xf>
    <xf numFmtId="10" fontId="8" fillId="0" borderId="7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center" vertical="center"/>
    </xf>
  </cellXfs>
  <cellStyles count="5">
    <cellStyle name="Moeda" xfId="1" builtinId="4"/>
    <cellStyle name="Moeda 2" xfId="4" xr:uid="{AE6D2FE3-91F5-4BCD-B920-31C480071FEF}"/>
    <cellStyle name="Normal" xfId="0" builtinId="0"/>
    <cellStyle name="Normal_Pesquisa no referencial 10 de maio de 2013" xfId="2" xr:uid="{E339CAB8-9908-4D58-B360-5A491E2760B1}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179916</xdr:colOff>
      <xdr:row>6</xdr:row>
      <xdr:rowOff>74082</xdr:rowOff>
    </xdr:from>
    <xdr:to>
      <xdr:col>14</xdr:col>
      <xdr:colOff>306915</xdr:colOff>
      <xdr:row>8</xdr:row>
      <xdr:rowOff>52916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370010-1DC8-4DB1-AE9E-31C8CFEE831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90" t="7573" r="14859" b="3703"/>
        <a:stretch/>
      </xdr:blipFill>
      <xdr:spPr bwMode="auto">
        <a:xfrm>
          <a:off x="8614833" y="1248832"/>
          <a:ext cx="1015999" cy="5291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338667</xdr:colOff>
      <xdr:row>6</xdr:row>
      <xdr:rowOff>211669</xdr:rowOff>
    </xdr:from>
    <xdr:to>
      <xdr:col>22</xdr:col>
      <xdr:colOff>137582</xdr:colOff>
      <xdr:row>8</xdr:row>
      <xdr:rowOff>84668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08FC251-EAB8-42C8-913B-B5E221FBBE04}"/>
            </a:ext>
          </a:extLst>
        </xdr:cNvPr>
        <xdr:cNvSpPr txBox="1"/>
      </xdr:nvSpPr>
      <xdr:spPr>
        <a:xfrm>
          <a:off x="9662584" y="1386419"/>
          <a:ext cx="4434415" cy="423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CONSULTE PRO SERVIÇOS DE ENGENHARIA LTDA – ME</a:t>
          </a:r>
          <a:r>
            <a:rPr lang="pt-BR" sz="8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CNPJ: 26.951.967/0001-42</a:t>
          </a:r>
          <a:endParaRPr lang="pt-BR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RUA BARÃO DO RIO BRANCO, 248-A, CENTRO, SALINAS/MG – CEP:39560-000</a:t>
          </a:r>
          <a:endParaRPr lang="pt-BR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158750</xdr:colOff>
      <xdr:row>1</xdr:row>
      <xdr:rowOff>148166</xdr:rowOff>
    </xdr:from>
    <xdr:to>
      <xdr:col>18</xdr:col>
      <xdr:colOff>407458</xdr:colOff>
      <xdr:row>5</xdr:row>
      <xdr:rowOff>20108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5D9B7810-879A-4F1A-9E88-F4FCA430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0" y="433916"/>
          <a:ext cx="1285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474133</xdr:colOff>
      <xdr:row>2</xdr:row>
      <xdr:rowOff>7408</xdr:rowOff>
    </xdr:from>
    <xdr:to>
      <xdr:col>20</xdr:col>
      <xdr:colOff>315383</xdr:colOff>
      <xdr:row>4</xdr:row>
      <xdr:rowOff>152399</xdr:rowOff>
    </xdr:to>
    <xdr:pic>
      <xdr:nvPicPr>
        <xdr:cNvPr id="5" name="Imagem 6">
          <a:extLst>
            <a:ext uri="{FF2B5EF4-FFF2-40B4-BE49-F238E27FC236}">
              <a16:creationId xmlns:a16="http://schemas.microsoft.com/office/drawing/2014/main" id="{ECB6C63A-2778-42E1-BABB-90B7954C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3550" y="462491"/>
          <a:ext cx="8572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0FCC-B8FB-4D48-A760-67823F7D273A}">
  <dimension ref="A1:AV163"/>
  <sheetViews>
    <sheetView tabSelected="1" view="pageBreakPreview" topLeftCell="A98" zoomScale="90" zoomScaleNormal="90" zoomScaleSheetLayoutView="90" zoomScalePageLayoutView="115" workbookViewId="0">
      <selection activeCell="A32" sqref="A32:E32"/>
    </sheetView>
  </sheetViews>
  <sheetFormatPr defaultRowHeight="12.75" x14ac:dyDescent="0.2"/>
  <cols>
    <col min="1" max="1" width="5.140625" style="1" customWidth="1"/>
    <col min="2" max="2" width="7.28515625" style="1" customWidth="1"/>
    <col min="3" max="3" width="40.7109375" style="1" customWidth="1"/>
    <col min="4" max="4" width="8" style="1" customWidth="1"/>
    <col min="5" max="5" width="11.28515625" style="1" customWidth="1"/>
    <col min="6" max="6" width="9.85546875" style="1" customWidth="1"/>
    <col min="7" max="8" width="6.28515625" style="1" customWidth="1"/>
    <col min="9" max="9" width="9.7109375" style="1" customWidth="1"/>
    <col min="10" max="10" width="6.42578125" style="1" customWidth="1"/>
    <col min="11" max="11" width="7.5703125" style="1" customWidth="1"/>
    <col min="12" max="12" width="7.7109375" style="1" customWidth="1"/>
    <col min="13" max="14" width="6.7109375" style="1" customWidth="1"/>
    <col min="15" max="15" width="8.7109375" style="1" customWidth="1"/>
    <col min="16" max="17" width="7.140625" style="1" customWidth="1"/>
    <col min="18" max="18" width="8.42578125" style="1" customWidth="1"/>
    <col min="19" max="20" width="7.5703125" style="1" customWidth="1"/>
    <col min="21" max="22" width="11.42578125" style="1" customWidth="1"/>
    <col min="23" max="23" width="9.140625" style="1"/>
    <col min="24" max="24" width="16" style="1" customWidth="1"/>
    <col min="25" max="25" width="9.140625" style="1"/>
    <col min="26" max="26" width="11.140625" style="1" bestFit="1" customWidth="1"/>
    <col min="27" max="16384" width="9.140625" style="1"/>
  </cols>
  <sheetData>
    <row r="1" spans="1:48" ht="22.5" x14ac:dyDescent="0.3">
      <c r="A1" s="70" t="s">
        <v>116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X1" s="2"/>
      <c r="Y1" s="2"/>
    </row>
    <row r="2" spans="1:48" ht="13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X2" s="2"/>
      <c r="Y2" s="2"/>
    </row>
    <row r="3" spans="1:48" ht="14.25" x14ac:dyDescent="0.2">
      <c r="A3" s="69" t="s">
        <v>166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X3" s="2"/>
      <c r="Y3" s="2"/>
    </row>
    <row r="4" spans="1:48" ht="14.25" customHeight="1" x14ac:dyDescent="0.2">
      <c r="A4" s="69" t="s">
        <v>227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X4" s="2"/>
      <c r="Y4" s="2"/>
    </row>
    <row r="5" spans="1:48" ht="14.25" x14ac:dyDescent="0.2">
      <c r="A5" s="69" t="s">
        <v>228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X5" s="2"/>
      <c r="Y5" s="2"/>
    </row>
    <row r="6" spans="1:48" ht="14.25" x14ac:dyDescent="0.2">
      <c r="A6" s="69" t="s">
        <v>229</v>
      </c>
      <c r="B6" s="69"/>
      <c r="C6" s="69"/>
      <c r="D6" s="69"/>
      <c r="E6" s="69"/>
      <c r="F6" s="69"/>
      <c r="G6" s="69"/>
      <c r="H6" s="69"/>
      <c r="I6" s="69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X6" s="2"/>
      <c r="Y6" s="2"/>
    </row>
    <row r="7" spans="1:48" ht="28.5" customHeight="1" x14ac:dyDescent="0.2">
      <c r="A7" s="69" t="s">
        <v>221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X7" s="2"/>
      <c r="Y7" s="2"/>
    </row>
    <row r="8" spans="1:48" ht="15" customHeight="1" x14ac:dyDescent="0.2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X8" s="2"/>
      <c r="Y8" s="2"/>
    </row>
    <row r="9" spans="1:48" x14ac:dyDescent="0.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X9" s="2"/>
      <c r="Y9" s="2"/>
    </row>
    <row r="10" spans="1:48" ht="15" customHeight="1" x14ac:dyDescent="0.2">
      <c r="A10" s="73" t="s">
        <v>34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1">
        <v>0.23499999999999999</v>
      </c>
      <c r="V10" s="72"/>
      <c r="W10" s="1">
        <v>1.25</v>
      </c>
      <c r="X10" s="2"/>
      <c r="Y10" s="2"/>
    </row>
    <row r="11" spans="1:48" ht="15" customHeight="1" x14ac:dyDescent="0.25">
      <c r="A11" s="88" t="s">
        <v>230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X11" s="4"/>
      <c r="Y11" s="2"/>
    </row>
    <row r="12" spans="1:48" ht="39.75" customHeight="1" x14ac:dyDescent="0.2">
      <c r="A12" s="75"/>
      <c r="B12" s="74" t="s">
        <v>10</v>
      </c>
      <c r="C12" s="74" t="s">
        <v>4</v>
      </c>
      <c r="D12" s="74" t="s">
        <v>5</v>
      </c>
      <c r="E12" s="74" t="s">
        <v>1</v>
      </c>
      <c r="F12" s="65" t="s">
        <v>207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40"/>
      <c r="U12" s="76" t="s">
        <v>165</v>
      </c>
      <c r="V12" s="76" t="s">
        <v>7</v>
      </c>
      <c r="X12" s="2"/>
      <c r="Y12" s="2"/>
    </row>
    <row r="13" spans="1:48" ht="15" customHeight="1" x14ac:dyDescent="0.2">
      <c r="A13" s="75"/>
      <c r="B13" s="74"/>
      <c r="C13" s="74"/>
      <c r="D13" s="74"/>
      <c r="E13" s="74"/>
      <c r="F13" s="67" t="s">
        <v>180</v>
      </c>
      <c r="G13" s="67"/>
      <c r="H13" s="67"/>
      <c r="I13" s="68" t="s">
        <v>181</v>
      </c>
      <c r="J13" s="68"/>
      <c r="K13" s="68"/>
      <c r="L13" s="67" t="s">
        <v>179</v>
      </c>
      <c r="M13" s="67"/>
      <c r="N13" s="67"/>
      <c r="O13" s="68" t="s">
        <v>182</v>
      </c>
      <c r="P13" s="68"/>
      <c r="Q13" s="68"/>
      <c r="R13" s="67" t="s">
        <v>199</v>
      </c>
      <c r="S13" s="67"/>
      <c r="T13" s="67"/>
      <c r="U13" s="76"/>
      <c r="V13" s="76"/>
      <c r="X13" s="2"/>
      <c r="Y13" s="2"/>
    </row>
    <row r="14" spans="1:48" ht="21" customHeight="1" x14ac:dyDescent="0.2">
      <c r="A14" s="39"/>
      <c r="B14" s="39"/>
      <c r="C14" s="39"/>
      <c r="D14" s="5"/>
      <c r="E14" s="5"/>
      <c r="F14" s="30" t="s">
        <v>192</v>
      </c>
      <c r="G14" s="30" t="s">
        <v>164</v>
      </c>
      <c r="H14" s="30" t="s">
        <v>193</v>
      </c>
      <c r="I14" s="6" t="s">
        <v>192</v>
      </c>
      <c r="J14" s="6" t="s">
        <v>164</v>
      </c>
      <c r="K14" s="6" t="s">
        <v>193</v>
      </c>
      <c r="L14" s="30" t="s">
        <v>192</v>
      </c>
      <c r="M14" s="30" t="s">
        <v>164</v>
      </c>
      <c r="N14" s="30" t="s">
        <v>193</v>
      </c>
      <c r="O14" s="6" t="s">
        <v>192</v>
      </c>
      <c r="P14" s="6" t="s">
        <v>164</v>
      </c>
      <c r="Q14" s="6" t="s">
        <v>193</v>
      </c>
      <c r="R14" s="30" t="s">
        <v>192</v>
      </c>
      <c r="S14" s="30" t="s">
        <v>164</v>
      </c>
      <c r="T14" s="30" t="s">
        <v>193</v>
      </c>
      <c r="U14" s="76"/>
      <c r="V14" s="76"/>
      <c r="X14" s="2"/>
      <c r="Y14" s="2"/>
    </row>
    <row r="15" spans="1:48" x14ac:dyDescent="0.2">
      <c r="A15" s="48" t="s">
        <v>6</v>
      </c>
      <c r="B15" s="6"/>
      <c r="C15" s="52" t="s">
        <v>45</v>
      </c>
      <c r="D15" s="49"/>
      <c r="E15" s="4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53"/>
      <c r="V15" s="53"/>
      <c r="X15" s="2"/>
      <c r="Y15" s="2"/>
    </row>
    <row r="16" spans="1:48" ht="42" customHeight="1" x14ac:dyDescent="0.2">
      <c r="A16" s="7" t="s">
        <v>14</v>
      </c>
      <c r="B16" s="7" t="s">
        <v>162</v>
      </c>
      <c r="C16" s="17" t="s">
        <v>163</v>
      </c>
      <c r="D16" s="7" t="s">
        <v>11</v>
      </c>
      <c r="E16" s="8">
        <f>0.21</f>
        <v>0.21</v>
      </c>
      <c r="F16" s="31">
        <v>27.82</v>
      </c>
      <c r="G16" s="32">
        <v>65.541656900000007</v>
      </c>
      <c r="H16" s="32">
        <f>F16*E16</f>
        <v>5.8422000000000001</v>
      </c>
      <c r="I16" s="9">
        <v>14.62</v>
      </c>
      <c r="J16" s="10">
        <v>34.4583431</v>
      </c>
      <c r="K16" s="10">
        <f>I16*E16</f>
        <v>3.0701999999999998</v>
      </c>
      <c r="L16" s="31"/>
      <c r="M16" s="32"/>
      <c r="N16" s="32">
        <f>L16*E16</f>
        <v>0</v>
      </c>
      <c r="O16" s="9"/>
      <c r="P16" s="10"/>
      <c r="Q16" s="10">
        <f>O16*E16</f>
        <v>0</v>
      </c>
      <c r="R16" s="31"/>
      <c r="S16" s="32"/>
      <c r="T16" s="32">
        <f>R16*E16</f>
        <v>0</v>
      </c>
      <c r="U16" s="9">
        <f t="shared" ref="U16:U31" si="0">F16+I16+L16+O16+R16</f>
        <v>42.44</v>
      </c>
      <c r="V16" s="9">
        <f t="shared" ref="V16:V31" si="1">U16*E16</f>
        <v>8.9123999999999999</v>
      </c>
      <c r="X16" s="11"/>
      <c r="Y16" s="2"/>
      <c r="AA16" s="12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</row>
    <row r="17" spans="1:48" ht="39" customHeight="1" x14ac:dyDescent="0.2">
      <c r="A17" s="7" t="s">
        <v>50</v>
      </c>
      <c r="B17" s="7" t="s">
        <v>168</v>
      </c>
      <c r="C17" s="17" t="s">
        <v>167</v>
      </c>
      <c r="D17" s="7" t="s">
        <v>2</v>
      </c>
      <c r="E17" s="8">
        <f>13.96</f>
        <v>13.96</v>
      </c>
      <c r="F17" s="31">
        <v>1.44</v>
      </c>
      <c r="G17" s="32">
        <v>70.618556799999993</v>
      </c>
      <c r="H17" s="32">
        <f t="shared" ref="H17:H31" si="2">F17*E17</f>
        <v>20.102399999999999</v>
      </c>
      <c r="I17" s="9">
        <v>0.59</v>
      </c>
      <c r="J17" s="10">
        <v>29.3814432</v>
      </c>
      <c r="K17" s="10">
        <f t="shared" ref="K17:K31" si="3">I17*E17</f>
        <v>8.2363999999999997</v>
      </c>
      <c r="L17" s="31"/>
      <c r="M17" s="32"/>
      <c r="N17" s="32">
        <f t="shared" ref="N17:N31" si="4">L17*E17</f>
        <v>0</v>
      </c>
      <c r="O17" s="9"/>
      <c r="P17" s="10"/>
      <c r="Q17" s="10">
        <f t="shared" ref="Q17:Q31" si="5">O17*E17</f>
        <v>0</v>
      </c>
      <c r="R17" s="31"/>
      <c r="S17" s="32"/>
      <c r="T17" s="32">
        <f t="shared" ref="T17:T31" si="6">R17*E17</f>
        <v>0</v>
      </c>
      <c r="U17" s="9">
        <f t="shared" si="0"/>
        <v>2.0299999999999998</v>
      </c>
      <c r="V17" s="9">
        <f t="shared" si="1"/>
        <v>28.338799999999999</v>
      </c>
      <c r="W17" s="14"/>
      <c r="X17" s="11"/>
      <c r="Y17" s="2"/>
      <c r="AA17" s="12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</row>
    <row r="18" spans="1:48" ht="41.25" customHeight="1" x14ac:dyDescent="0.2">
      <c r="A18" s="7" t="s">
        <v>51</v>
      </c>
      <c r="B18" s="7" t="s">
        <v>47</v>
      </c>
      <c r="C18" s="17" t="s">
        <v>46</v>
      </c>
      <c r="D18" s="7" t="s">
        <v>0</v>
      </c>
      <c r="E18" s="34">
        <f>6.59</f>
        <v>6.59</v>
      </c>
      <c r="F18" s="31">
        <v>6.73</v>
      </c>
      <c r="G18" s="32">
        <f>(F18/U18)*100</f>
        <v>36.027837259100636</v>
      </c>
      <c r="H18" s="32">
        <f t="shared" si="2"/>
        <v>44.350700000000003</v>
      </c>
      <c r="I18" s="9">
        <v>3.31</v>
      </c>
      <c r="J18" s="10">
        <f>(I18/U18)*100</f>
        <v>17.719486081370448</v>
      </c>
      <c r="K18" s="10">
        <f t="shared" si="3"/>
        <v>21.812899999999999</v>
      </c>
      <c r="L18" s="31"/>
      <c r="M18" s="32"/>
      <c r="N18" s="32">
        <f t="shared" si="4"/>
        <v>0</v>
      </c>
      <c r="O18" s="9">
        <v>7.73</v>
      </c>
      <c r="P18" s="10">
        <f>(O18/U18)*100</f>
        <v>41.381156316916481</v>
      </c>
      <c r="Q18" s="10">
        <f t="shared" si="5"/>
        <v>50.9407</v>
      </c>
      <c r="R18" s="31">
        <v>0.91</v>
      </c>
      <c r="S18" s="32">
        <f>(R18/U18)*100</f>
        <v>4.8715203426124187</v>
      </c>
      <c r="T18" s="32">
        <f t="shared" si="6"/>
        <v>5.9969000000000001</v>
      </c>
      <c r="U18" s="9">
        <f t="shared" si="0"/>
        <v>18.680000000000003</v>
      </c>
      <c r="V18" s="9">
        <f t="shared" si="1"/>
        <v>123.10120000000002</v>
      </c>
      <c r="X18" s="11"/>
      <c r="Y18" s="2"/>
      <c r="AA18" s="12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</row>
    <row r="19" spans="1:48" ht="54" customHeight="1" x14ac:dyDescent="0.2">
      <c r="A19" s="7" t="s">
        <v>52</v>
      </c>
      <c r="B19" s="7" t="s">
        <v>172</v>
      </c>
      <c r="C19" s="17" t="s">
        <v>171</v>
      </c>
      <c r="D19" s="7" t="s">
        <v>0</v>
      </c>
      <c r="E19" s="34">
        <f>11.51+6.48+2.84</f>
        <v>20.830000000000002</v>
      </c>
      <c r="F19" s="31">
        <v>2.2000000000000002</v>
      </c>
      <c r="G19" s="32">
        <v>75.524475600000002</v>
      </c>
      <c r="H19" s="32">
        <f t="shared" si="2"/>
        <v>45.826000000000008</v>
      </c>
      <c r="I19" s="9">
        <v>0.71</v>
      </c>
      <c r="J19" s="10">
        <v>24.475524400000001</v>
      </c>
      <c r="K19" s="10">
        <f t="shared" si="3"/>
        <v>14.789300000000001</v>
      </c>
      <c r="L19" s="31"/>
      <c r="M19" s="32"/>
      <c r="N19" s="32">
        <f t="shared" si="4"/>
        <v>0</v>
      </c>
      <c r="O19" s="9"/>
      <c r="P19" s="10"/>
      <c r="Q19" s="10">
        <f t="shared" si="5"/>
        <v>0</v>
      </c>
      <c r="R19" s="31"/>
      <c r="S19" s="32"/>
      <c r="T19" s="32">
        <f t="shared" si="6"/>
        <v>0</v>
      </c>
      <c r="U19" s="9">
        <f t="shared" si="0"/>
        <v>2.91</v>
      </c>
      <c r="V19" s="9">
        <f t="shared" si="1"/>
        <v>60.615300000000005</v>
      </c>
      <c r="W19" s="14"/>
      <c r="X19" s="11"/>
      <c r="Y19" s="2"/>
      <c r="AA19" s="12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</row>
    <row r="20" spans="1:48" ht="45" customHeight="1" x14ac:dyDescent="0.2">
      <c r="A20" s="7" t="s">
        <v>53</v>
      </c>
      <c r="B20" s="7" t="s">
        <v>170</v>
      </c>
      <c r="C20" s="17" t="s">
        <v>169</v>
      </c>
      <c r="D20" s="15" t="s">
        <v>0</v>
      </c>
      <c r="E20" s="33">
        <f>11.51+2.16+2.11+4.77</f>
        <v>20.549999999999997</v>
      </c>
      <c r="F20" s="31">
        <v>12.16</v>
      </c>
      <c r="G20" s="32">
        <v>68.534238900000005</v>
      </c>
      <c r="H20" s="32">
        <f t="shared" si="2"/>
        <v>249.88799999999998</v>
      </c>
      <c r="I20" s="9">
        <v>5.57</v>
      </c>
      <c r="J20" s="10">
        <v>31.465761100000002</v>
      </c>
      <c r="K20" s="10">
        <f t="shared" si="3"/>
        <v>114.4635</v>
      </c>
      <c r="L20" s="31"/>
      <c r="M20" s="32"/>
      <c r="N20" s="32">
        <f t="shared" si="4"/>
        <v>0</v>
      </c>
      <c r="O20" s="9"/>
      <c r="P20" s="10"/>
      <c r="Q20" s="10">
        <f t="shared" si="5"/>
        <v>0</v>
      </c>
      <c r="R20" s="31"/>
      <c r="S20" s="32"/>
      <c r="T20" s="32">
        <f t="shared" si="6"/>
        <v>0</v>
      </c>
      <c r="U20" s="9">
        <f t="shared" si="0"/>
        <v>17.73</v>
      </c>
      <c r="V20" s="9">
        <f t="shared" si="1"/>
        <v>364.35149999999993</v>
      </c>
      <c r="W20" s="14"/>
      <c r="X20" s="11"/>
      <c r="Y20" s="2"/>
      <c r="AA20" s="12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</row>
    <row r="21" spans="1:48" ht="31.5" customHeight="1" x14ac:dyDescent="0.2">
      <c r="A21" s="7" t="s">
        <v>54</v>
      </c>
      <c r="B21" s="15" t="s">
        <v>49</v>
      </c>
      <c r="C21" s="17" t="s">
        <v>48</v>
      </c>
      <c r="D21" s="15" t="s">
        <v>0</v>
      </c>
      <c r="E21" s="33">
        <f>0.84</f>
        <v>0.84</v>
      </c>
      <c r="F21" s="31">
        <v>5.5</v>
      </c>
      <c r="G21" s="32">
        <f>(F21/U21)*100</f>
        <v>36.112934996717009</v>
      </c>
      <c r="H21" s="32">
        <f t="shared" si="2"/>
        <v>4.62</v>
      </c>
      <c r="I21" s="9">
        <v>2.67</v>
      </c>
      <c r="J21" s="10">
        <f>(I21/U21)*100</f>
        <v>17.531188443860803</v>
      </c>
      <c r="K21" s="10">
        <f t="shared" si="3"/>
        <v>2.2427999999999999</v>
      </c>
      <c r="L21" s="31"/>
      <c r="M21" s="32"/>
      <c r="N21" s="32">
        <f t="shared" si="4"/>
        <v>0</v>
      </c>
      <c r="O21" s="9">
        <v>6.31</v>
      </c>
      <c r="P21" s="10">
        <f>(O21/U21)*100</f>
        <v>41.431385423506235</v>
      </c>
      <c r="Q21" s="10">
        <f t="shared" si="5"/>
        <v>5.3003999999999998</v>
      </c>
      <c r="R21" s="31">
        <v>0.75</v>
      </c>
      <c r="S21" s="32">
        <f>(R21/U21)*100</f>
        <v>4.9244911359159556</v>
      </c>
      <c r="T21" s="32">
        <f t="shared" si="6"/>
        <v>0.63</v>
      </c>
      <c r="U21" s="9">
        <f t="shared" si="0"/>
        <v>15.23</v>
      </c>
      <c r="V21" s="9">
        <f t="shared" si="1"/>
        <v>12.793200000000001</v>
      </c>
      <c r="X21" s="11"/>
      <c r="Y21" s="2"/>
      <c r="AA21" s="12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</row>
    <row r="22" spans="1:48" ht="36.75" customHeight="1" x14ac:dyDescent="0.2">
      <c r="A22" s="7" t="s">
        <v>55</v>
      </c>
      <c r="B22" s="7" t="s">
        <v>174</v>
      </c>
      <c r="C22" s="17" t="s">
        <v>173</v>
      </c>
      <c r="D22" s="15" t="s">
        <v>0</v>
      </c>
      <c r="E22" s="33">
        <f>1.68+(0.8*2.1)</f>
        <v>3.3600000000000003</v>
      </c>
      <c r="F22" s="31">
        <v>4.97</v>
      </c>
      <c r="G22" s="32">
        <v>30.845070400000001</v>
      </c>
      <c r="H22" s="32">
        <f t="shared" si="2"/>
        <v>16.699200000000001</v>
      </c>
      <c r="I22" s="9">
        <v>2.21</v>
      </c>
      <c r="J22" s="10">
        <v>69.154929600000003</v>
      </c>
      <c r="K22" s="10">
        <f t="shared" si="3"/>
        <v>7.4256000000000002</v>
      </c>
      <c r="L22" s="31"/>
      <c r="M22" s="32"/>
      <c r="N22" s="32">
        <f t="shared" si="4"/>
        <v>0</v>
      </c>
      <c r="O22" s="9"/>
      <c r="P22" s="10"/>
      <c r="Q22" s="10">
        <f t="shared" si="5"/>
        <v>0</v>
      </c>
      <c r="R22" s="31"/>
      <c r="S22" s="32"/>
      <c r="T22" s="32">
        <f t="shared" si="6"/>
        <v>0</v>
      </c>
      <c r="U22" s="9">
        <f t="shared" si="0"/>
        <v>7.18</v>
      </c>
      <c r="V22" s="9">
        <f t="shared" si="1"/>
        <v>24.1248</v>
      </c>
      <c r="X22" s="11"/>
      <c r="Y22" s="2"/>
      <c r="AA22" s="12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</row>
    <row r="23" spans="1:48" ht="41.25" customHeight="1" x14ac:dyDescent="0.2">
      <c r="A23" s="7" t="s">
        <v>56</v>
      </c>
      <c r="B23" s="7" t="s">
        <v>176</v>
      </c>
      <c r="C23" s="17" t="s">
        <v>175</v>
      </c>
      <c r="D23" s="15" t="s">
        <v>0</v>
      </c>
      <c r="E23" s="33">
        <f>1.6+(1*1.4*3)+4.2+5.6</f>
        <v>15.6</v>
      </c>
      <c r="F23" s="31">
        <v>13.71</v>
      </c>
      <c r="G23" s="32">
        <v>65.894838399999998</v>
      </c>
      <c r="H23" s="32">
        <f t="shared" si="2"/>
        <v>213.876</v>
      </c>
      <c r="I23" s="9">
        <v>7.09</v>
      </c>
      <c r="J23" s="10">
        <v>34.105161600000002</v>
      </c>
      <c r="K23" s="10">
        <f t="shared" si="3"/>
        <v>110.604</v>
      </c>
      <c r="L23" s="31"/>
      <c r="M23" s="32"/>
      <c r="N23" s="32">
        <f t="shared" si="4"/>
        <v>0</v>
      </c>
      <c r="O23" s="9"/>
      <c r="P23" s="10"/>
      <c r="Q23" s="10">
        <f t="shared" si="5"/>
        <v>0</v>
      </c>
      <c r="R23" s="31"/>
      <c r="S23" s="32"/>
      <c r="T23" s="32">
        <f t="shared" si="6"/>
        <v>0</v>
      </c>
      <c r="U23" s="9">
        <f t="shared" si="0"/>
        <v>20.8</v>
      </c>
      <c r="V23" s="9">
        <f t="shared" si="1"/>
        <v>324.48</v>
      </c>
      <c r="X23" s="11"/>
      <c r="Y23" s="2"/>
      <c r="AA23" s="12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</row>
    <row r="24" spans="1:48" ht="41.25" customHeight="1" x14ac:dyDescent="0.2">
      <c r="A24" s="7" t="s">
        <v>57</v>
      </c>
      <c r="B24" s="7" t="s">
        <v>225</v>
      </c>
      <c r="C24" s="17" t="s">
        <v>224</v>
      </c>
      <c r="D24" s="15" t="s">
        <v>0</v>
      </c>
      <c r="E24" s="33">
        <f>4.2+4.2</f>
        <v>8.4</v>
      </c>
      <c r="F24" s="31">
        <v>16.16</v>
      </c>
      <c r="G24" s="32">
        <f>(F24/U24)*100</f>
        <v>37.226445519465557</v>
      </c>
      <c r="H24" s="32">
        <f t="shared" ref="H24" si="7">F24*E24</f>
        <v>135.744</v>
      </c>
      <c r="I24" s="9">
        <v>7.44</v>
      </c>
      <c r="J24" s="10">
        <f>(I24/U24)*100</f>
        <v>17.138908085694542</v>
      </c>
      <c r="K24" s="10">
        <f t="shared" ref="K24" si="8">I24*E24</f>
        <v>62.496000000000009</v>
      </c>
      <c r="L24" s="31"/>
      <c r="M24" s="32"/>
      <c r="N24" s="32">
        <f t="shared" ref="N24" si="9">L24*E24</f>
        <v>0</v>
      </c>
      <c r="O24" s="9">
        <v>18.54</v>
      </c>
      <c r="P24" s="10">
        <f>(O24/U24)*100</f>
        <v>42.709053213545261</v>
      </c>
      <c r="Q24" s="10">
        <f t="shared" ref="Q24" si="10">O24*E24</f>
        <v>155.73599999999999</v>
      </c>
      <c r="R24" s="31">
        <v>1.27</v>
      </c>
      <c r="S24" s="32">
        <f>(R24/U24)*100</f>
        <v>2.9255931812946323</v>
      </c>
      <c r="T24" s="32">
        <f t="shared" ref="T24" si="11">R24*E24</f>
        <v>10.668000000000001</v>
      </c>
      <c r="U24" s="9">
        <f t="shared" si="0"/>
        <v>43.410000000000004</v>
      </c>
      <c r="V24" s="9">
        <f t="shared" si="1"/>
        <v>364.64400000000006</v>
      </c>
      <c r="X24" s="11"/>
      <c r="Y24" s="2"/>
      <c r="AA24" s="12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</row>
    <row r="25" spans="1:48" ht="42" customHeight="1" x14ac:dyDescent="0.2">
      <c r="A25" s="7" t="s">
        <v>58</v>
      </c>
      <c r="B25" s="7" t="s">
        <v>178</v>
      </c>
      <c r="C25" s="17" t="s">
        <v>177</v>
      </c>
      <c r="D25" s="15" t="s">
        <v>9</v>
      </c>
      <c r="E25" s="33">
        <f>1+1+1</f>
        <v>3</v>
      </c>
      <c r="F25" s="31">
        <v>0.7</v>
      </c>
      <c r="G25" s="32">
        <v>70.526315800000006</v>
      </c>
      <c r="H25" s="32">
        <f t="shared" si="2"/>
        <v>2.0999999999999996</v>
      </c>
      <c r="I25" s="9">
        <v>0.28999999999999998</v>
      </c>
      <c r="J25" s="10">
        <v>29.473684200000001</v>
      </c>
      <c r="K25" s="10">
        <f t="shared" si="3"/>
        <v>0.86999999999999988</v>
      </c>
      <c r="L25" s="31"/>
      <c r="M25" s="32"/>
      <c r="N25" s="32">
        <f t="shared" si="4"/>
        <v>0</v>
      </c>
      <c r="O25" s="9"/>
      <c r="P25" s="10"/>
      <c r="Q25" s="10">
        <f t="shared" si="5"/>
        <v>0</v>
      </c>
      <c r="R25" s="31"/>
      <c r="S25" s="32"/>
      <c r="T25" s="32">
        <f t="shared" si="6"/>
        <v>0</v>
      </c>
      <c r="U25" s="9">
        <f t="shared" si="0"/>
        <v>0.99</v>
      </c>
      <c r="V25" s="9">
        <f t="shared" si="1"/>
        <v>2.9699999999999998</v>
      </c>
      <c r="X25" s="11"/>
      <c r="Y25" s="2"/>
      <c r="AA25" s="12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</row>
    <row r="26" spans="1:48" ht="39" customHeight="1" x14ac:dyDescent="0.2">
      <c r="A26" s="7" t="s">
        <v>59</v>
      </c>
      <c r="B26" s="7" t="s">
        <v>137</v>
      </c>
      <c r="C26" s="17" t="s">
        <v>183</v>
      </c>
      <c r="D26" s="7" t="s">
        <v>11</v>
      </c>
      <c r="E26" s="34">
        <f>0.56</f>
        <v>0.56000000000000005</v>
      </c>
      <c r="F26" s="31">
        <v>22.7</v>
      </c>
      <c r="G26" s="32">
        <f>(F26/U26)*100</f>
        <v>35.731150637494096</v>
      </c>
      <c r="H26" s="32">
        <f t="shared" si="2"/>
        <v>12.712000000000002</v>
      </c>
      <c r="I26" s="9">
        <v>11.61</v>
      </c>
      <c r="J26" s="10">
        <f>(I26/U26)*100</f>
        <v>18.274830788603808</v>
      </c>
      <c r="K26" s="10">
        <f t="shared" si="3"/>
        <v>6.5016000000000007</v>
      </c>
      <c r="L26" s="31"/>
      <c r="M26" s="32"/>
      <c r="N26" s="32">
        <f t="shared" si="4"/>
        <v>0</v>
      </c>
      <c r="O26" s="9">
        <v>26.05</v>
      </c>
      <c r="P26" s="10">
        <f>(O26/U26)*100</f>
        <v>41.004249960648515</v>
      </c>
      <c r="Q26" s="10">
        <f t="shared" si="5"/>
        <v>14.588000000000001</v>
      </c>
      <c r="R26" s="31">
        <v>3.17</v>
      </c>
      <c r="S26" s="32">
        <f>(R26/U26)*100</f>
        <v>4.9897686132535801</v>
      </c>
      <c r="T26" s="32">
        <f t="shared" si="6"/>
        <v>1.7752000000000001</v>
      </c>
      <c r="U26" s="9">
        <f t="shared" si="0"/>
        <v>63.53</v>
      </c>
      <c r="V26" s="9">
        <f t="shared" si="1"/>
        <v>35.576800000000006</v>
      </c>
      <c r="X26" s="11"/>
      <c r="Y26" s="2"/>
      <c r="AA26" s="12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4"/>
      <c r="AV26" s="14"/>
    </row>
    <row r="27" spans="1:48" ht="39" customHeight="1" x14ac:dyDescent="0.2">
      <c r="A27" s="7" t="s">
        <v>187</v>
      </c>
      <c r="B27" s="7" t="s">
        <v>138</v>
      </c>
      <c r="C27" s="17" t="s">
        <v>184</v>
      </c>
      <c r="D27" s="7" t="s">
        <v>11</v>
      </c>
      <c r="E27" s="34">
        <v>0.5</v>
      </c>
      <c r="F27" s="31">
        <v>9.08</v>
      </c>
      <c r="G27" s="32">
        <f>(F27/U27)*100</f>
        <v>35.748031496062985</v>
      </c>
      <c r="H27" s="32">
        <f t="shared" si="2"/>
        <v>4.54</v>
      </c>
      <c r="I27" s="9">
        <v>4.63</v>
      </c>
      <c r="J27" s="10">
        <f>(I27/U27)*100</f>
        <v>18.228346456692911</v>
      </c>
      <c r="K27" s="10">
        <f t="shared" si="3"/>
        <v>2.3149999999999999</v>
      </c>
      <c r="L27" s="31"/>
      <c r="M27" s="32"/>
      <c r="N27" s="32">
        <f t="shared" si="4"/>
        <v>0</v>
      </c>
      <c r="O27" s="9">
        <v>10.42</v>
      </c>
      <c r="P27" s="10">
        <f>(O27/U27)*100</f>
        <v>41.023622047244089</v>
      </c>
      <c r="Q27" s="10">
        <f t="shared" si="5"/>
        <v>5.21</v>
      </c>
      <c r="R27" s="31">
        <v>1.27</v>
      </c>
      <c r="S27" s="32">
        <f>(R27/U27)*100</f>
        <v>5</v>
      </c>
      <c r="T27" s="32">
        <f t="shared" si="6"/>
        <v>0.63500000000000001</v>
      </c>
      <c r="U27" s="9">
        <f t="shared" si="0"/>
        <v>25.400000000000002</v>
      </c>
      <c r="V27" s="9">
        <f t="shared" si="1"/>
        <v>12.700000000000001</v>
      </c>
      <c r="W27" s="14"/>
      <c r="X27" s="11"/>
      <c r="Y27" s="2"/>
      <c r="AA27" s="12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4"/>
      <c r="AV27" s="14"/>
    </row>
    <row r="28" spans="1:48" ht="32.25" customHeight="1" x14ac:dyDescent="0.2">
      <c r="A28" s="7" t="s">
        <v>188</v>
      </c>
      <c r="B28" s="7" t="s">
        <v>139</v>
      </c>
      <c r="C28" s="17" t="s">
        <v>185</v>
      </c>
      <c r="D28" s="7" t="s">
        <v>2</v>
      </c>
      <c r="E28" s="34">
        <f>2.6</f>
        <v>2.6</v>
      </c>
      <c r="F28" s="31">
        <v>0.68</v>
      </c>
      <c r="G28" s="32">
        <f>(F28/U28)*100</f>
        <v>35.602094240837694</v>
      </c>
      <c r="H28" s="32">
        <f t="shared" si="2"/>
        <v>1.7680000000000002</v>
      </c>
      <c r="I28" s="9">
        <v>0.34</v>
      </c>
      <c r="J28" s="10">
        <f>(I28/U28)*100</f>
        <v>17.801047120418847</v>
      </c>
      <c r="K28" s="10">
        <f t="shared" si="3"/>
        <v>0.88400000000000012</v>
      </c>
      <c r="L28" s="31"/>
      <c r="M28" s="32"/>
      <c r="N28" s="32">
        <f t="shared" si="4"/>
        <v>0</v>
      </c>
      <c r="O28" s="9">
        <v>0.78</v>
      </c>
      <c r="P28" s="10">
        <f>(O28/U28)*100</f>
        <v>40.837696335078533</v>
      </c>
      <c r="Q28" s="10">
        <f t="shared" si="5"/>
        <v>2.028</v>
      </c>
      <c r="R28" s="31">
        <v>0.11</v>
      </c>
      <c r="S28" s="32">
        <f>(R28/U28)*100</f>
        <v>5.7591623036649215</v>
      </c>
      <c r="T28" s="32">
        <f t="shared" si="6"/>
        <v>0.28600000000000003</v>
      </c>
      <c r="U28" s="9">
        <f t="shared" si="0"/>
        <v>1.9100000000000001</v>
      </c>
      <c r="V28" s="9">
        <f t="shared" si="1"/>
        <v>4.9660000000000002</v>
      </c>
      <c r="X28" s="11"/>
      <c r="Y28" s="2"/>
      <c r="AA28" s="12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</row>
    <row r="29" spans="1:48" ht="42" customHeight="1" x14ac:dyDescent="0.2">
      <c r="A29" s="7" t="s">
        <v>189</v>
      </c>
      <c r="B29" s="7" t="s">
        <v>140</v>
      </c>
      <c r="C29" s="17" t="s">
        <v>186</v>
      </c>
      <c r="D29" s="7" t="s">
        <v>2</v>
      </c>
      <c r="E29" s="34">
        <f>2.6</f>
        <v>2.6</v>
      </c>
      <c r="F29" s="31">
        <v>1.01</v>
      </c>
      <c r="G29" s="32">
        <f>(F29/U29)*100</f>
        <v>27.900552486187845</v>
      </c>
      <c r="H29" s="32">
        <f t="shared" si="2"/>
        <v>2.6260000000000003</v>
      </c>
      <c r="I29" s="9">
        <v>1.33</v>
      </c>
      <c r="J29" s="10">
        <f>(I29/U29)*100</f>
        <v>36.740331491712716</v>
      </c>
      <c r="K29" s="10">
        <f t="shared" si="3"/>
        <v>3.4580000000000002</v>
      </c>
      <c r="L29" s="31"/>
      <c r="M29" s="32"/>
      <c r="N29" s="32">
        <f t="shared" si="4"/>
        <v>0</v>
      </c>
      <c r="O29" s="9">
        <v>1.17</v>
      </c>
      <c r="P29" s="10">
        <f>(O29/U29)*100</f>
        <v>32.320441988950279</v>
      </c>
      <c r="Q29" s="10">
        <f t="shared" si="5"/>
        <v>3.0419999999999998</v>
      </c>
      <c r="R29" s="31">
        <v>0.11</v>
      </c>
      <c r="S29" s="32">
        <f>(R29/U29)*100</f>
        <v>3.0386740331491713</v>
      </c>
      <c r="T29" s="32">
        <f t="shared" si="6"/>
        <v>0.28600000000000003</v>
      </c>
      <c r="U29" s="9">
        <f t="shared" si="0"/>
        <v>3.6199999999999997</v>
      </c>
      <c r="V29" s="9">
        <f t="shared" si="1"/>
        <v>9.411999999999999</v>
      </c>
      <c r="X29" s="11"/>
      <c r="Y29" s="2"/>
      <c r="AA29" s="12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4"/>
      <c r="AV29" s="14"/>
    </row>
    <row r="30" spans="1:48" ht="31.5" customHeight="1" x14ac:dyDescent="0.2">
      <c r="A30" s="7" t="s">
        <v>190</v>
      </c>
      <c r="B30" s="7" t="s">
        <v>118</v>
      </c>
      <c r="C30" s="17" t="s">
        <v>117</v>
      </c>
      <c r="D30" s="15" t="s">
        <v>11</v>
      </c>
      <c r="E30" s="34">
        <f>2.68+1.19+0.83+0.31+0.44+0.6</f>
        <v>6.05</v>
      </c>
      <c r="F30" s="31">
        <v>12.08</v>
      </c>
      <c r="G30" s="32">
        <v>55.906976899999997</v>
      </c>
      <c r="H30" s="32">
        <f t="shared" si="2"/>
        <v>73.084000000000003</v>
      </c>
      <c r="I30" s="9">
        <v>5.24</v>
      </c>
      <c r="J30" s="10">
        <v>24.279069700000001</v>
      </c>
      <c r="K30" s="10">
        <f t="shared" si="3"/>
        <v>31.702000000000002</v>
      </c>
      <c r="L30" s="31">
        <v>4.2699999999999996</v>
      </c>
      <c r="M30" s="32">
        <v>19.813953399999999</v>
      </c>
      <c r="N30" s="32">
        <f t="shared" si="4"/>
        <v>25.833499999999997</v>
      </c>
      <c r="O30" s="9"/>
      <c r="P30" s="10"/>
      <c r="Q30" s="10">
        <f t="shared" si="5"/>
        <v>0</v>
      </c>
      <c r="R30" s="31"/>
      <c r="S30" s="32"/>
      <c r="T30" s="32">
        <f t="shared" si="6"/>
        <v>0</v>
      </c>
      <c r="U30" s="9">
        <f t="shared" si="0"/>
        <v>21.59</v>
      </c>
      <c r="V30" s="9">
        <f t="shared" si="1"/>
        <v>130.61949999999999</v>
      </c>
      <c r="X30" s="11"/>
      <c r="Y30" s="2"/>
      <c r="AA30" s="12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</row>
    <row r="31" spans="1:48" ht="54" customHeight="1" x14ac:dyDescent="0.2">
      <c r="A31" s="7" t="s">
        <v>226</v>
      </c>
      <c r="B31" s="7" t="s">
        <v>120</v>
      </c>
      <c r="C31" s="17" t="s">
        <v>119</v>
      </c>
      <c r="D31" s="16" t="s">
        <v>111</v>
      </c>
      <c r="E31" s="34">
        <f>2.68+1.19+0.83+0.31+0.44+0.6</f>
        <v>6.05</v>
      </c>
      <c r="F31" s="31">
        <v>0.26</v>
      </c>
      <c r="G31" s="32">
        <v>16.025641</v>
      </c>
      <c r="H31" s="32">
        <f t="shared" si="2"/>
        <v>1.573</v>
      </c>
      <c r="I31" s="9">
        <v>0.99</v>
      </c>
      <c r="J31" s="10">
        <v>59.6153847</v>
      </c>
      <c r="K31" s="10">
        <f t="shared" si="3"/>
        <v>5.9894999999999996</v>
      </c>
      <c r="L31" s="31">
        <v>0.4</v>
      </c>
      <c r="M31" s="32">
        <v>24.3589743</v>
      </c>
      <c r="N31" s="32">
        <f t="shared" si="4"/>
        <v>2.42</v>
      </c>
      <c r="O31" s="9"/>
      <c r="P31" s="10"/>
      <c r="Q31" s="10">
        <f t="shared" si="5"/>
        <v>0</v>
      </c>
      <c r="R31" s="31"/>
      <c r="S31" s="32"/>
      <c r="T31" s="32">
        <f t="shared" si="6"/>
        <v>0</v>
      </c>
      <c r="U31" s="9">
        <f t="shared" si="0"/>
        <v>1.65</v>
      </c>
      <c r="V31" s="9">
        <f t="shared" si="1"/>
        <v>9.9824999999999999</v>
      </c>
      <c r="X31" s="11"/>
      <c r="Y31" s="2"/>
      <c r="AA31" s="12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4"/>
      <c r="AV31" s="14"/>
    </row>
    <row r="32" spans="1:48" ht="21" customHeight="1" x14ac:dyDescent="0.2">
      <c r="A32" s="61" t="s">
        <v>191</v>
      </c>
      <c r="B32" s="61"/>
      <c r="C32" s="61"/>
      <c r="D32" s="61"/>
      <c r="E32" s="61"/>
      <c r="F32" s="62">
        <f>SUM(H16:H31)</f>
        <v>835.3515000000001</v>
      </c>
      <c r="G32" s="62"/>
      <c r="H32" s="51">
        <f>F32/U32</f>
        <v>0.55044682746568896</v>
      </c>
      <c r="I32" s="62">
        <f>SUM(K16:K31)</f>
        <v>396.8608000000001</v>
      </c>
      <c r="J32" s="62"/>
      <c r="K32" s="51">
        <f>I32/U32</f>
        <v>0.26150760285400254</v>
      </c>
      <c r="L32" s="62">
        <f>SUM(N16:N31)</f>
        <v>28.253499999999995</v>
      </c>
      <c r="M32" s="62"/>
      <c r="N32" s="51">
        <f>L32/U32</f>
        <v>1.8617371776793169E-2</v>
      </c>
      <c r="O32" s="62">
        <f>SUM(Q16:Q31)</f>
        <v>236.8451</v>
      </c>
      <c r="P32" s="62"/>
      <c r="Q32" s="51">
        <f>O32/U32</f>
        <v>0.15606679810330601</v>
      </c>
      <c r="R32" s="62">
        <f>SUM(T16:T31)</f>
        <v>20.277100000000008</v>
      </c>
      <c r="S32" s="62"/>
      <c r="T32" s="51">
        <f>R32/U32</f>
        <v>1.3361399800209284E-2</v>
      </c>
      <c r="U32" s="63">
        <f>SUM(V16:V31)</f>
        <v>1517.5880000000002</v>
      </c>
      <c r="V32" s="63"/>
      <c r="X32" s="36"/>
      <c r="Y32" s="2"/>
      <c r="AA32" s="12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4"/>
      <c r="AV32" s="14"/>
    </row>
    <row r="33" spans="1:48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X33" s="2"/>
      <c r="Y33" s="2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4"/>
      <c r="AV33" s="14"/>
    </row>
    <row r="34" spans="1:48" x14ac:dyDescent="0.2">
      <c r="A34" s="42" t="s">
        <v>12</v>
      </c>
      <c r="B34" s="45"/>
      <c r="C34" s="47" t="s">
        <v>60</v>
      </c>
      <c r="D34" s="60"/>
      <c r="E34" s="60"/>
      <c r="F34" s="60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41"/>
      <c r="X34" s="2"/>
      <c r="Y34" s="2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4"/>
      <c r="AV34" s="14"/>
    </row>
    <row r="35" spans="1:48" ht="72" customHeight="1" x14ac:dyDescent="0.2">
      <c r="A35" s="20" t="s">
        <v>15</v>
      </c>
      <c r="B35" s="7" t="s">
        <v>122</v>
      </c>
      <c r="C35" s="17" t="s">
        <v>121</v>
      </c>
      <c r="D35" s="7" t="s">
        <v>11</v>
      </c>
      <c r="E35" s="8">
        <v>0.53</v>
      </c>
      <c r="F35" s="31">
        <v>183.19</v>
      </c>
      <c r="G35" s="32">
        <v>30.722123400000001</v>
      </c>
      <c r="H35" s="32">
        <f>F35*E35</f>
        <v>97.090699999999998</v>
      </c>
      <c r="I35" s="9">
        <v>411.42</v>
      </c>
      <c r="J35" s="10">
        <v>68.992651300000006</v>
      </c>
      <c r="K35" s="10">
        <f>I35*E35</f>
        <v>218.05260000000001</v>
      </c>
      <c r="L35" s="31">
        <v>0.7</v>
      </c>
      <c r="M35" s="32">
        <v>0.1174457</v>
      </c>
      <c r="N35" s="32">
        <f>L35*E35</f>
        <v>0.371</v>
      </c>
      <c r="O35" s="9"/>
      <c r="P35" s="10"/>
      <c r="Q35" s="10">
        <f>O35*E35</f>
        <v>0</v>
      </c>
      <c r="R35" s="31">
        <v>1</v>
      </c>
      <c r="S35" s="32">
        <v>0.1677796</v>
      </c>
      <c r="T35" s="32">
        <f>R35*E35</f>
        <v>0.53</v>
      </c>
      <c r="U35" s="9">
        <f>F35+I35+L35+O35+R35</f>
        <v>596.31000000000006</v>
      </c>
      <c r="V35" s="9">
        <f>U35*E35</f>
        <v>316.04430000000002</v>
      </c>
      <c r="X35" s="11"/>
      <c r="Y35" s="2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4"/>
      <c r="AV35" s="14"/>
    </row>
    <row r="36" spans="1:48" ht="45" customHeight="1" x14ac:dyDescent="0.2">
      <c r="A36" s="20" t="s">
        <v>35</v>
      </c>
      <c r="B36" s="7" t="s">
        <v>142</v>
      </c>
      <c r="C36" s="17" t="s">
        <v>141</v>
      </c>
      <c r="D36" s="7" t="s">
        <v>11</v>
      </c>
      <c r="E36" s="8">
        <f>0.35</f>
        <v>0.35</v>
      </c>
      <c r="F36" s="31">
        <v>118</v>
      </c>
      <c r="G36" s="32">
        <v>22.5524676</v>
      </c>
      <c r="H36" s="32">
        <f>F36*E36</f>
        <v>41.3</v>
      </c>
      <c r="I36" s="9">
        <v>405.23</v>
      </c>
      <c r="J36" s="10">
        <v>77.4475324</v>
      </c>
      <c r="K36" s="10">
        <f>I36*E36</f>
        <v>141.8305</v>
      </c>
      <c r="L36" s="31"/>
      <c r="M36" s="32"/>
      <c r="N36" s="32">
        <f>L36*E36</f>
        <v>0</v>
      </c>
      <c r="O36" s="9"/>
      <c r="P36" s="10"/>
      <c r="Q36" s="10">
        <f>O36*E36</f>
        <v>0</v>
      </c>
      <c r="R36" s="31"/>
      <c r="S36" s="32"/>
      <c r="T36" s="32">
        <f>R36*E36</f>
        <v>0</v>
      </c>
      <c r="U36" s="9">
        <f>F36+I36+L36+O36+R36</f>
        <v>523.23</v>
      </c>
      <c r="V36" s="9">
        <f>U36*E36</f>
        <v>183.13049999999998</v>
      </c>
      <c r="X36" s="11"/>
      <c r="Y36" s="2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4"/>
      <c r="AV36" s="14"/>
    </row>
    <row r="37" spans="1:48" ht="88.5" customHeight="1" x14ac:dyDescent="0.2">
      <c r="A37" s="20" t="s">
        <v>36</v>
      </c>
      <c r="B37" s="7" t="s">
        <v>62</v>
      </c>
      <c r="C37" s="17" t="s">
        <v>61</v>
      </c>
      <c r="D37" s="7" t="s">
        <v>0</v>
      </c>
      <c r="E37" s="34">
        <v>0.33</v>
      </c>
      <c r="F37" s="31">
        <v>8.66</v>
      </c>
      <c r="G37" s="32">
        <f>(F37/U37)*100</f>
        <v>11.206004140786749</v>
      </c>
      <c r="H37" s="32">
        <f t="shared" ref="H37" si="12">F37*E37</f>
        <v>2.8578000000000001</v>
      </c>
      <c r="I37" s="9">
        <v>57.61</v>
      </c>
      <c r="J37" s="10">
        <f>(I37/U37)*100</f>
        <v>74.54710144927536</v>
      </c>
      <c r="K37" s="10">
        <f t="shared" ref="K37" si="13">I37*E37</f>
        <v>19.011300000000002</v>
      </c>
      <c r="L37" s="31"/>
      <c r="M37" s="32"/>
      <c r="N37" s="32">
        <f t="shared" ref="N37" si="14">L37*E37</f>
        <v>0</v>
      </c>
      <c r="O37" s="9">
        <v>9.92</v>
      </c>
      <c r="P37" s="10">
        <f>(O37/U37)*100</f>
        <v>12.836438923395447</v>
      </c>
      <c r="Q37" s="10">
        <f t="shared" ref="Q37" si="15">O37*E37</f>
        <v>3.2736000000000001</v>
      </c>
      <c r="R37" s="31">
        <v>1.0900000000000001</v>
      </c>
      <c r="S37" s="32">
        <f>(R37/U37)*100</f>
        <v>1.4104554865424432</v>
      </c>
      <c r="T37" s="32">
        <f t="shared" ref="T37" si="16">R37*E37</f>
        <v>0.35970000000000002</v>
      </c>
      <c r="U37" s="9">
        <f t="shared" ref="U37" si="17">F37+I37+L37+O37+R37</f>
        <v>77.28</v>
      </c>
      <c r="V37" s="9">
        <f t="shared" ref="V37" si="18">U37*E37</f>
        <v>25.502400000000002</v>
      </c>
      <c r="X37" s="11"/>
      <c r="Y37" s="2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4"/>
      <c r="AV37" s="14"/>
    </row>
    <row r="38" spans="1:48" ht="99.75" customHeight="1" x14ac:dyDescent="0.2">
      <c r="A38" s="20" t="s">
        <v>37</v>
      </c>
      <c r="B38" s="7" t="s">
        <v>64</v>
      </c>
      <c r="C38" s="17" t="s">
        <v>63</v>
      </c>
      <c r="D38" s="7" t="s">
        <v>0</v>
      </c>
      <c r="E38" s="34">
        <v>4.3</v>
      </c>
      <c r="F38" s="31">
        <v>5.72</v>
      </c>
      <c r="G38" s="32">
        <f>(F38/U38)*100</f>
        <v>6.9442758285783652</v>
      </c>
      <c r="H38" s="32">
        <f t="shared" ref="H38" si="19">F38*E38</f>
        <v>24.595999999999997</v>
      </c>
      <c r="I38" s="9">
        <v>69.459999999999994</v>
      </c>
      <c r="J38" s="10">
        <f>(I38/U38)*100</f>
        <v>84.326818016268049</v>
      </c>
      <c r="K38" s="10">
        <f t="shared" ref="K38" si="20">I38*E38</f>
        <v>298.67799999999994</v>
      </c>
      <c r="L38" s="31"/>
      <c r="M38" s="32"/>
      <c r="N38" s="32">
        <f t="shared" ref="N38" si="21">L38*E38</f>
        <v>0</v>
      </c>
      <c r="O38" s="9">
        <v>6.54</v>
      </c>
      <c r="P38" s="10">
        <f>(O38/U38)*100</f>
        <v>7.9397839019060337</v>
      </c>
      <c r="Q38" s="10">
        <f t="shared" ref="Q38" si="22">O38*E38</f>
        <v>28.122</v>
      </c>
      <c r="R38" s="31">
        <v>0.65</v>
      </c>
      <c r="S38" s="32">
        <f>(R38/U38)*100</f>
        <v>0.78912225324754159</v>
      </c>
      <c r="T38" s="32">
        <f t="shared" ref="T38" si="23">R38*E38</f>
        <v>2.7949999999999999</v>
      </c>
      <c r="U38" s="9">
        <f t="shared" ref="U38" si="24">F38+I38+L38+O38+R38</f>
        <v>82.37</v>
      </c>
      <c r="V38" s="9">
        <f t="shared" ref="V38" si="25">U38*E38</f>
        <v>354.19100000000003</v>
      </c>
      <c r="X38" s="11"/>
      <c r="Y38" s="2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4"/>
      <c r="AV38" s="14"/>
    </row>
    <row r="39" spans="1:48" ht="82.5" customHeight="1" x14ac:dyDescent="0.2">
      <c r="A39" s="20" t="s">
        <v>194</v>
      </c>
      <c r="B39" s="21" t="s">
        <v>124</v>
      </c>
      <c r="C39" s="22" t="s">
        <v>123</v>
      </c>
      <c r="D39" s="23" t="s">
        <v>0</v>
      </c>
      <c r="E39" s="34">
        <f>12.91+7.52+17.41</f>
        <v>37.840000000000003</v>
      </c>
      <c r="F39" s="31">
        <v>5.7</v>
      </c>
      <c r="G39" s="32">
        <f>(F39/U39)*100</f>
        <v>7.6530612244897958</v>
      </c>
      <c r="H39" s="32">
        <f t="shared" ref="H39" si="26">F39*E39</f>
        <v>215.68800000000002</v>
      </c>
      <c r="I39" s="9">
        <v>61.6</v>
      </c>
      <c r="J39" s="10">
        <f>(I39/U39)*100</f>
        <v>82.706766917293223</v>
      </c>
      <c r="K39" s="10">
        <f t="shared" ref="K39" si="27">I39*E39</f>
        <v>2330.9440000000004</v>
      </c>
      <c r="L39" s="31"/>
      <c r="M39" s="32"/>
      <c r="N39" s="32">
        <f t="shared" ref="N39" si="28">L39*E39</f>
        <v>0</v>
      </c>
      <c r="O39" s="9">
        <v>6.53</v>
      </c>
      <c r="P39" s="10">
        <f>(O39/U39)*100</f>
        <v>8.7674543501611168</v>
      </c>
      <c r="Q39" s="10">
        <f t="shared" ref="Q39" si="29">O39*E39</f>
        <v>247.09520000000003</v>
      </c>
      <c r="R39" s="31">
        <v>0.65</v>
      </c>
      <c r="S39" s="32">
        <f>(R39/U39)*100</f>
        <v>0.87271750805585391</v>
      </c>
      <c r="T39" s="32">
        <f t="shared" ref="T39" si="30">R39*E39</f>
        <v>24.596000000000004</v>
      </c>
      <c r="U39" s="9">
        <f t="shared" ref="U39" si="31">F39+I39+L39+O39+R39</f>
        <v>74.48</v>
      </c>
      <c r="V39" s="9">
        <f t="shared" ref="V39" si="32">U39*E39</f>
        <v>2818.3232000000003</v>
      </c>
      <c r="X39" s="11"/>
      <c r="Y39" s="2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4"/>
      <c r="AV39" s="14"/>
    </row>
    <row r="40" spans="1:48" ht="31.5" customHeight="1" x14ac:dyDescent="0.2">
      <c r="A40" s="20" t="s">
        <v>195</v>
      </c>
      <c r="B40" s="21" t="s">
        <v>144</v>
      </c>
      <c r="C40" s="22" t="s">
        <v>143</v>
      </c>
      <c r="D40" s="23" t="s">
        <v>2</v>
      </c>
      <c r="E40" s="34">
        <f>0.8+0.8+1.6</f>
        <v>3.2</v>
      </c>
      <c r="F40" s="31">
        <v>12.29</v>
      </c>
      <c r="G40" s="32">
        <v>17.567954199999999</v>
      </c>
      <c r="H40" s="32">
        <f t="shared" ref="H40" si="33">F40*E40</f>
        <v>39.328000000000003</v>
      </c>
      <c r="I40" s="9">
        <v>57.69</v>
      </c>
      <c r="J40" s="10">
        <v>82.432045799999997</v>
      </c>
      <c r="K40" s="10">
        <f t="shared" ref="K40" si="34">I40*E40</f>
        <v>184.608</v>
      </c>
      <c r="L40" s="31"/>
      <c r="M40" s="32"/>
      <c r="N40" s="32">
        <f t="shared" ref="N40" si="35">L40*E40</f>
        <v>0</v>
      </c>
      <c r="O40" s="9"/>
      <c r="P40" s="10"/>
      <c r="Q40" s="10">
        <f t="shared" ref="Q40" si="36">O40*E40</f>
        <v>0</v>
      </c>
      <c r="R40" s="31"/>
      <c r="S40" s="32"/>
      <c r="T40" s="32">
        <f t="shared" ref="T40" si="37">R40*E40</f>
        <v>0</v>
      </c>
      <c r="U40" s="9">
        <f t="shared" ref="U40" si="38">F40+I40+L40+O40+R40</f>
        <v>69.97999999999999</v>
      </c>
      <c r="V40" s="9">
        <f t="shared" ref="V40" si="39">U40*E40</f>
        <v>223.93599999999998</v>
      </c>
      <c r="X40" s="11"/>
      <c r="Y40" s="2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4"/>
      <c r="AV40" s="14"/>
    </row>
    <row r="41" spans="1:48" ht="69" customHeight="1" x14ac:dyDescent="0.2">
      <c r="A41" s="20" t="s">
        <v>196</v>
      </c>
      <c r="B41" s="21" t="s">
        <v>146</v>
      </c>
      <c r="C41" s="22" t="s">
        <v>145</v>
      </c>
      <c r="D41" s="23" t="s">
        <v>2</v>
      </c>
      <c r="E41" s="34">
        <f>1+2+3</f>
        <v>6</v>
      </c>
      <c r="F41" s="31">
        <v>17.059999999999999</v>
      </c>
      <c r="G41" s="32">
        <v>18.349117499999998</v>
      </c>
      <c r="H41" s="32">
        <f t="shared" ref="H41" si="40">F41*E41</f>
        <v>102.35999999999999</v>
      </c>
      <c r="I41" s="9">
        <v>75.959999999999994</v>
      </c>
      <c r="J41" s="10">
        <v>81.650882499999994</v>
      </c>
      <c r="K41" s="10">
        <f t="shared" ref="K41" si="41">I41*E41</f>
        <v>455.76</v>
      </c>
      <c r="L41" s="31"/>
      <c r="M41" s="32"/>
      <c r="N41" s="32">
        <f t="shared" ref="N41" si="42">L41*E41</f>
        <v>0</v>
      </c>
      <c r="O41" s="9"/>
      <c r="P41" s="10"/>
      <c r="Q41" s="10">
        <f t="shared" ref="Q41" si="43">O41*E41</f>
        <v>0</v>
      </c>
      <c r="R41" s="31"/>
      <c r="S41" s="32"/>
      <c r="T41" s="32">
        <f t="shared" ref="T41" si="44">R41*E41</f>
        <v>0</v>
      </c>
      <c r="U41" s="9">
        <f t="shared" ref="U41" si="45">F41+I41+L41+O41+R41</f>
        <v>93.02</v>
      </c>
      <c r="V41" s="9">
        <f t="shared" ref="V41" si="46">U41*E41</f>
        <v>558.12</v>
      </c>
      <c r="X41" s="11"/>
      <c r="Y41" s="2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4"/>
      <c r="AV41" s="14"/>
    </row>
    <row r="42" spans="1:48" ht="15.75" x14ac:dyDescent="0.2">
      <c r="A42" s="61" t="s">
        <v>191</v>
      </c>
      <c r="B42" s="61"/>
      <c r="C42" s="61"/>
      <c r="D42" s="61"/>
      <c r="E42" s="61"/>
      <c r="F42" s="62">
        <f>SUM(H35:H41)</f>
        <v>523.22050000000002</v>
      </c>
      <c r="G42" s="62"/>
      <c r="H42" s="51">
        <f>F42/U42</f>
        <v>0.11680991320104354</v>
      </c>
      <c r="I42" s="62">
        <f>SUM(K35:K41)</f>
        <v>3648.8844000000008</v>
      </c>
      <c r="J42" s="62"/>
      <c r="K42" s="51">
        <f>I42/U42</f>
        <v>0.81461997388221974</v>
      </c>
      <c r="L42" s="62">
        <f>SUM(N35:N41)</f>
        <v>0.371</v>
      </c>
      <c r="M42" s="62"/>
      <c r="N42" s="51">
        <f>L42/U42</f>
        <v>8.2826414098046918E-5</v>
      </c>
      <c r="O42" s="62">
        <f>SUM(Q35:Q41)</f>
        <v>278.49080000000004</v>
      </c>
      <c r="P42" s="62"/>
      <c r="Q42" s="51">
        <f>O42/U42</f>
        <v>6.2173569604572418E-2</v>
      </c>
      <c r="R42" s="62">
        <f>SUM(T35:T41)</f>
        <v>28.280700000000003</v>
      </c>
      <c r="S42" s="62"/>
      <c r="T42" s="51">
        <f>R42/U42</f>
        <v>6.313716898066403E-3</v>
      </c>
      <c r="U42" s="63">
        <f>SUM(V35:V41)</f>
        <v>4479.2474000000002</v>
      </c>
      <c r="V42" s="63"/>
      <c r="X42" s="24"/>
      <c r="Y42" s="2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4"/>
      <c r="AV42" s="14"/>
    </row>
    <row r="43" spans="1:48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X43" s="2"/>
      <c r="Y43" s="2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4"/>
      <c r="AV43" s="14"/>
    </row>
    <row r="44" spans="1:48" x14ac:dyDescent="0.2">
      <c r="A44" s="42" t="s">
        <v>13</v>
      </c>
      <c r="B44" s="45"/>
      <c r="C44" s="46" t="s">
        <v>65</v>
      </c>
      <c r="D44" s="60"/>
      <c r="E44" s="60"/>
      <c r="F44" s="60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41"/>
      <c r="X44" s="2"/>
      <c r="Y44" s="2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4"/>
      <c r="AV44" s="14"/>
    </row>
    <row r="45" spans="1:48" ht="89.25" x14ac:dyDescent="0.2">
      <c r="A45" s="20" t="s">
        <v>16</v>
      </c>
      <c r="B45" s="21" t="s">
        <v>67</v>
      </c>
      <c r="C45" s="22" t="s">
        <v>66</v>
      </c>
      <c r="D45" s="23" t="s">
        <v>0</v>
      </c>
      <c r="E45" s="34">
        <f>4+1.4+1.4+1.4</f>
        <v>8.2000000000000011</v>
      </c>
      <c r="F45" s="31">
        <v>23.89</v>
      </c>
      <c r="G45" s="32">
        <v>36.8966584</v>
      </c>
      <c r="H45" s="32">
        <f t="shared" ref="H45" si="47">F45*E45</f>
        <v>195.89800000000002</v>
      </c>
      <c r="I45" s="9">
        <v>40.880000000000003</v>
      </c>
      <c r="J45" s="10">
        <v>63.1033416</v>
      </c>
      <c r="K45" s="10">
        <f t="shared" ref="K45" si="48">I45*E45</f>
        <v>335.21600000000007</v>
      </c>
      <c r="L45" s="31"/>
      <c r="M45" s="32"/>
      <c r="N45" s="32">
        <f t="shared" ref="N45" si="49">L45*E45</f>
        <v>0</v>
      </c>
      <c r="O45" s="9"/>
      <c r="P45" s="10"/>
      <c r="Q45" s="10">
        <f t="shared" ref="Q45" si="50">O45*E45</f>
        <v>0</v>
      </c>
      <c r="R45" s="31"/>
      <c r="S45" s="32"/>
      <c r="T45" s="32">
        <f t="shared" ref="T45" si="51">R45*E45</f>
        <v>0</v>
      </c>
      <c r="U45" s="9">
        <f t="shared" ref="U45" si="52">F45+I45+L45+O45+R45</f>
        <v>64.77000000000001</v>
      </c>
      <c r="V45" s="9">
        <f t="shared" ref="V45" si="53">U45*E45</f>
        <v>531.11400000000015</v>
      </c>
      <c r="X45" s="24"/>
      <c r="Y45" s="2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4"/>
      <c r="AV45" s="14"/>
    </row>
    <row r="46" spans="1:48" ht="64.5" customHeight="1" x14ac:dyDescent="0.2">
      <c r="A46" s="20" t="s">
        <v>17</v>
      </c>
      <c r="B46" s="7" t="s">
        <v>69</v>
      </c>
      <c r="C46" s="17" t="s">
        <v>68</v>
      </c>
      <c r="D46" s="7" t="s">
        <v>0</v>
      </c>
      <c r="E46" s="34">
        <f>8+2.8+2.8+5.1</f>
        <v>18.700000000000003</v>
      </c>
      <c r="F46" s="31">
        <v>1.78</v>
      </c>
      <c r="G46" s="32">
        <v>49.572649499999997</v>
      </c>
      <c r="H46" s="32">
        <f t="shared" ref="H46:H47" si="54">F46*E46</f>
        <v>33.286000000000008</v>
      </c>
      <c r="I46" s="9">
        <v>1.83</v>
      </c>
      <c r="J46" s="10">
        <v>50.427350500000003</v>
      </c>
      <c r="K46" s="10">
        <f t="shared" ref="K46:K47" si="55">I46*E46</f>
        <v>34.221000000000004</v>
      </c>
      <c r="L46" s="31"/>
      <c r="M46" s="32"/>
      <c r="N46" s="32">
        <f t="shared" ref="N46:N47" si="56">L46*E46</f>
        <v>0</v>
      </c>
      <c r="O46" s="9"/>
      <c r="P46" s="10"/>
      <c r="Q46" s="10">
        <f t="shared" ref="Q46:Q47" si="57">O46*E46</f>
        <v>0</v>
      </c>
      <c r="R46" s="31"/>
      <c r="S46" s="32"/>
      <c r="T46" s="32">
        <f t="shared" ref="T46:T47" si="58">R46*E46</f>
        <v>0</v>
      </c>
      <c r="U46" s="9">
        <f t="shared" ref="U46:U47" si="59">F46+I46+L46+O46+R46</f>
        <v>3.6100000000000003</v>
      </c>
      <c r="V46" s="9">
        <f t="shared" ref="V46:V47" si="60">U46*E46</f>
        <v>67.507000000000019</v>
      </c>
      <c r="X46" s="2"/>
      <c r="Y46" s="2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4"/>
      <c r="AV46" s="14"/>
    </row>
    <row r="47" spans="1:48" ht="89.25" x14ac:dyDescent="0.2">
      <c r="A47" s="20" t="s">
        <v>42</v>
      </c>
      <c r="B47" s="7" t="s">
        <v>70</v>
      </c>
      <c r="C47" s="17" t="s">
        <v>8</v>
      </c>
      <c r="D47" s="7" t="s">
        <v>0</v>
      </c>
      <c r="E47" s="34">
        <f>8+1+2.8+2.8+5.1</f>
        <v>19.700000000000003</v>
      </c>
      <c r="F47" s="31">
        <v>13.15</v>
      </c>
      <c r="G47" s="32">
        <v>43.168316799999999</v>
      </c>
      <c r="H47" s="32">
        <f t="shared" si="54"/>
        <v>259.05500000000006</v>
      </c>
      <c r="I47" s="9">
        <v>17.260000000000002</v>
      </c>
      <c r="J47" s="10">
        <v>56.600660099999999</v>
      </c>
      <c r="K47" s="10">
        <f t="shared" si="55"/>
        <v>340.02200000000011</v>
      </c>
      <c r="L47" s="31">
        <v>0.03</v>
      </c>
      <c r="M47" s="32">
        <v>9.9009899999999998E-2</v>
      </c>
      <c r="N47" s="32">
        <f t="shared" si="56"/>
        <v>0.59100000000000008</v>
      </c>
      <c r="O47" s="9"/>
      <c r="P47" s="10"/>
      <c r="Q47" s="10">
        <f t="shared" si="57"/>
        <v>0</v>
      </c>
      <c r="R47" s="31">
        <v>0.04</v>
      </c>
      <c r="S47" s="32">
        <v>0.1320132</v>
      </c>
      <c r="T47" s="32">
        <f t="shared" si="58"/>
        <v>0.78800000000000014</v>
      </c>
      <c r="U47" s="9">
        <f t="shared" si="59"/>
        <v>30.480000000000004</v>
      </c>
      <c r="V47" s="9">
        <f t="shared" si="60"/>
        <v>600.45600000000013</v>
      </c>
      <c r="W47" s="14"/>
      <c r="X47" s="2"/>
      <c r="Y47" s="2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4"/>
      <c r="AV47" s="14"/>
    </row>
    <row r="48" spans="1:48" ht="15.75" x14ac:dyDescent="0.2">
      <c r="A48" s="61" t="s">
        <v>191</v>
      </c>
      <c r="B48" s="61"/>
      <c r="C48" s="61"/>
      <c r="D48" s="61"/>
      <c r="E48" s="61"/>
      <c r="F48" s="62">
        <f>SUM(H45:H47)</f>
        <v>488.23900000000009</v>
      </c>
      <c r="G48" s="62"/>
      <c r="H48" s="51">
        <f>F48/U48</f>
        <v>0.40717902186431731</v>
      </c>
      <c r="I48" s="62">
        <f>SUM(K45:K47)</f>
        <v>709.45900000000017</v>
      </c>
      <c r="J48" s="62"/>
      <c r="K48" s="51">
        <f>I48/U48</f>
        <v>0.59167092688793133</v>
      </c>
      <c r="L48" s="62">
        <f>SUM(N45:N47)</f>
        <v>0.59100000000000008</v>
      </c>
      <c r="M48" s="62"/>
      <c r="N48" s="51">
        <f>L48/U48</f>
        <v>4.928791061791694E-4</v>
      </c>
      <c r="O48" s="62">
        <f>SUM(Q45:Q47)</f>
        <v>0</v>
      </c>
      <c r="P48" s="62"/>
      <c r="Q48" s="51">
        <f>O48/U48</f>
        <v>0</v>
      </c>
      <c r="R48" s="62">
        <f>SUM(T45:T47)</f>
        <v>0.78800000000000014</v>
      </c>
      <c r="S48" s="62"/>
      <c r="T48" s="51">
        <f>R48/U48</f>
        <v>6.5717214157222598E-4</v>
      </c>
      <c r="U48" s="63">
        <f>SUM(V45:V47)</f>
        <v>1199.0770000000002</v>
      </c>
      <c r="V48" s="63"/>
      <c r="X48" s="24"/>
      <c r="Y48" s="2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4"/>
      <c r="AV48" s="14"/>
    </row>
    <row r="49" spans="1:48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X49" s="2"/>
      <c r="Y49" s="2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4"/>
      <c r="AV49" s="14"/>
    </row>
    <row r="50" spans="1:48" x14ac:dyDescent="0.2">
      <c r="A50" s="42" t="s">
        <v>18</v>
      </c>
      <c r="B50" s="45"/>
      <c r="C50" s="46" t="s">
        <v>71</v>
      </c>
      <c r="D50" s="60"/>
      <c r="E50" s="60"/>
      <c r="F50" s="60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41"/>
      <c r="X50" s="2"/>
      <c r="Y50" s="2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4"/>
      <c r="AV50" s="14"/>
    </row>
    <row r="51" spans="1:48" ht="63.75" customHeight="1" x14ac:dyDescent="0.2">
      <c r="A51" s="20" t="s">
        <v>19</v>
      </c>
      <c r="B51" s="21" t="s">
        <v>126</v>
      </c>
      <c r="C51" s="22" t="s">
        <v>125</v>
      </c>
      <c r="D51" s="23" t="s">
        <v>9</v>
      </c>
      <c r="E51" s="34">
        <f>1+1</f>
        <v>2</v>
      </c>
      <c r="F51" s="31">
        <v>34.630000000000003</v>
      </c>
      <c r="G51" s="32">
        <v>10.571140700000001</v>
      </c>
      <c r="H51" s="32">
        <f t="shared" ref="H51:H54" si="61">F51*E51</f>
        <v>69.260000000000005</v>
      </c>
      <c r="I51" s="9">
        <v>293.02999999999997</v>
      </c>
      <c r="J51" s="10">
        <v>89.428859299999999</v>
      </c>
      <c r="K51" s="10">
        <f t="shared" ref="K51:K54" si="62">I51*E51</f>
        <v>586.05999999999995</v>
      </c>
      <c r="L51" s="31"/>
      <c r="M51" s="32"/>
      <c r="N51" s="32">
        <f t="shared" ref="N51:N54" si="63">L51*E51</f>
        <v>0</v>
      </c>
      <c r="O51" s="9"/>
      <c r="P51" s="10"/>
      <c r="Q51" s="10">
        <f t="shared" ref="Q51:Q54" si="64">O51*E51</f>
        <v>0</v>
      </c>
      <c r="R51" s="31"/>
      <c r="S51" s="32"/>
      <c r="T51" s="32">
        <f t="shared" ref="T51:T54" si="65">R51*E51</f>
        <v>0</v>
      </c>
      <c r="U51" s="9">
        <f t="shared" ref="U51:U54" si="66">F51+I51+L51+O51+R51</f>
        <v>327.65999999999997</v>
      </c>
      <c r="V51" s="9">
        <f t="shared" ref="V51:V54" si="67">U51*E51</f>
        <v>655.31999999999994</v>
      </c>
      <c r="X51" s="11"/>
      <c r="Y51" s="2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4"/>
      <c r="AV51" s="14"/>
    </row>
    <row r="52" spans="1:48" ht="66" customHeight="1" x14ac:dyDescent="0.2">
      <c r="A52" s="55" t="s">
        <v>20</v>
      </c>
      <c r="B52" s="21" t="s">
        <v>128</v>
      </c>
      <c r="C52" s="22" t="s">
        <v>127</v>
      </c>
      <c r="D52" s="23" t="s">
        <v>9</v>
      </c>
      <c r="E52" s="34">
        <f>1+1</f>
        <v>2</v>
      </c>
      <c r="F52" s="31">
        <v>22.45</v>
      </c>
      <c r="G52" s="32">
        <v>20.775494999999999</v>
      </c>
      <c r="H52" s="32">
        <f t="shared" si="61"/>
        <v>44.9</v>
      </c>
      <c r="I52" s="9">
        <v>85.64</v>
      </c>
      <c r="J52" s="10">
        <v>79.224504999999994</v>
      </c>
      <c r="K52" s="10">
        <f t="shared" si="62"/>
        <v>171.28</v>
      </c>
      <c r="L52" s="31"/>
      <c r="M52" s="32"/>
      <c r="N52" s="32">
        <f t="shared" si="63"/>
        <v>0</v>
      </c>
      <c r="O52" s="9"/>
      <c r="P52" s="10"/>
      <c r="Q52" s="10">
        <f t="shared" si="64"/>
        <v>0</v>
      </c>
      <c r="R52" s="31"/>
      <c r="S52" s="32"/>
      <c r="T52" s="32">
        <f t="shared" si="65"/>
        <v>0</v>
      </c>
      <c r="U52" s="9">
        <f t="shared" si="66"/>
        <v>108.09</v>
      </c>
      <c r="V52" s="9">
        <f t="shared" si="67"/>
        <v>216.18</v>
      </c>
      <c r="X52" s="11"/>
      <c r="Y52" s="2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4"/>
      <c r="AV52" s="14"/>
    </row>
    <row r="53" spans="1:48" ht="44.25" customHeight="1" x14ac:dyDescent="0.2">
      <c r="A53" s="55" t="s">
        <v>43</v>
      </c>
      <c r="B53" s="7" t="s">
        <v>134</v>
      </c>
      <c r="C53" s="17" t="s">
        <v>133</v>
      </c>
      <c r="D53" s="7" t="s">
        <v>0</v>
      </c>
      <c r="E53" s="34">
        <f>4.2+4.2+4.2</f>
        <v>12.600000000000001</v>
      </c>
      <c r="F53" s="31">
        <v>11</v>
      </c>
      <c r="G53" s="32">
        <f>(F53/U53)*100</f>
        <v>4.1439065737427017</v>
      </c>
      <c r="H53" s="32">
        <f t="shared" si="61"/>
        <v>138.60000000000002</v>
      </c>
      <c r="I53" s="9">
        <v>240.55</v>
      </c>
      <c r="J53" s="10">
        <f>(I53/U53)*100</f>
        <v>90.619702392164257</v>
      </c>
      <c r="K53" s="10">
        <f t="shared" si="62"/>
        <v>3030.9300000000003</v>
      </c>
      <c r="L53" s="31"/>
      <c r="M53" s="32"/>
      <c r="N53" s="32">
        <f t="shared" si="63"/>
        <v>0</v>
      </c>
      <c r="O53" s="9">
        <v>12.63</v>
      </c>
      <c r="P53" s="10">
        <f>(O53/U53)*100</f>
        <v>4.7579581842154832</v>
      </c>
      <c r="Q53" s="10">
        <f t="shared" si="64"/>
        <v>159.13800000000003</v>
      </c>
      <c r="R53" s="31">
        <v>1.27</v>
      </c>
      <c r="S53" s="32">
        <f>(R53/U53)*100</f>
        <v>0.4784328498775664</v>
      </c>
      <c r="T53" s="32">
        <f t="shared" si="65"/>
        <v>16.002000000000002</v>
      </c>
      <c r="U53" s="9">
        <f t="shared" si="66"/>
        <v>265.45</v>
      </c>
      <c r="V53" s="9">
        <f t="shared" si="67"/>
        <v>3344.67</v>
      </c>
      <c r="X53" s="11"/>
      <c r="Y53" s="2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4"/>
      <c r="AV53" s="14"/>
    </row>
    <row r="54" spans="1:48" ht="25.5" x14ac:dyDescent="0.2">
      <c r="A54" s="55" t="s">
        <v>44</v>
      </c>
      <c r="B54" s="7" t="s">
        <v>223</v>
      </c>
      <c r="C54" s="17" t="s">
        <v>222</v>
      </c>
      <c r="D54" s="7" t="s">
        <v>0</v>
      </c>
      <c r="E54" s="34">
        <f>4.2+4.2+4.2</f>
        <v>12.600000000000001</v>
      </c>
      <c r="F54" s="31"/>
      <c r="G54" s="32"/>
      <c r="H54" s="32">
        <f t="shared" si="61"/>
        <v>0</v>
      </c>
      <c r="I54" s="9">
        <v>217.21</v>
      </c>
      <c r="J54" s="10">
        <f>(I54/U54)*100</f>
        <v>100</v>
      </c>
      <c r="K54" s="10">
        <f t="shared" si="62"/>
        <v>2736.8460000000005</v>
      </c>
      <c r="L54" s="31"/>
      <c r="M54" s="32"/>
      <c r="N54" s="32">
        <f t="shared" si="63"/>
        <v>0</v>
      </c>
      <c r="O54" s="9"/>
      <c r="P54" s="10">
        <f>(O54/U54)*100</f>
        <v>0</v>
      </c>
      <c r="Q54" s="10">
        <f t="shared" si="64"/>
        <v>0</v>
      </c>
      <c r="R54" s="31"/>
      <c r="S54" s="32"/>
      <c r="T54" s="32">
        <f t="shared" si="65"/>
        <v>0</v>
      </c>
      <c r="U54" s="9">
        <f t="shared" si="66"/>
        <v>217.21</v>
      </c>
      <c r="V54" s="9">
        <f t="shared" si="67"/>
        <v>2736.8460000000005</v>
      </c>
      <c r="X54" s="11"/>
      <c r="Y54" s="2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4"/>
      <c r="AV54" s="14"/>
    </row>
    <row r="55" spans="1:48" ht="15.75" x14ac:dyDescent="0.2">
      <c r="A55" s="61"/>
      <c r="B55" s="61"/>
      <c r="C55" s="61"/>
      <c r="D55" s="61"/>
      <c r="E55" s="61"/>
      <c r="F55" s="62">
        <f>SUM(H51:H54)</f>
        <v>252.76000000000002</v>
      </c>
      <c r="G55" s="62"/>
      <c r="H55" s="51">
        <f>F55/U55</f>
        <v>3.6352569877589815E-2</v>
      </c>
      <c r="I55" s="62">
        <f>SUM(K51:K54)</f>
        <v>6525.1160000000009</v>
      </c>
      <c r="J55" s="62"/>
      <c r="K55" s="51">
        <f>I55/U55</f>
        <v>0.93845836109107195</v>
      </c>
      <c r="L55" s="62">
        <f>SUM(N51:N54)</f>
        <v>0</v>
      </c>
      <c r="M55" s="62"/>
      <c r="N55" s="51">
        <f>L55/U55</f>
        <v>0</v>
      </c>
      <c r="O55" s="62">
        <f>SUM(Q51:Q54)</f>
        <v>159.13800000000003</v>
      </c>
      <c r="P55" s="62"/>
      <c r="Q55" s="51">
        <f>O55/U55</f>
        <v>2.2887621716964266E-2</v>
      </c>
      <c r="R55" s="62">
        <f>SUM(T51:T54)</f>
        <v>16.002000000000002</v>
      </c>
      <c r="S55" s="62"/>
      <c r="T55" s="51">
        <f>R55/U55</f>
        <v>2.3014473143740792E-3</v>
      </c>
      <c r="U55" s="63">
        <f>SUM(V51:V54)</f>
        <v>6953.0160000000005</v>
      </c>
      <c r="V55" s="63"/>
      <c r="X55" s="11"/>
      <c r="Y55" s="2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4"/>
      <c r="AV55" s="14"/>
    </row>
    <row r="56" spans="1:48" x14ac:dyDescent="0.2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X56" s="11"/>
      <c r="Y56" s="2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4"/>
      <c r="AV56" s="14"/>
    </row>
    <row r="57" spans="1:48" x14ac:dyDescent="0.2">
      <c r="A57" s="42" t="s">
        <v>21</v>
      </c>
      <c r="B57" s="43"/>
      <c r="C57" s="44" t="s">
        <v>72</v>
      </c>
      <c r="D57" s="60"/>
      <c r="E57" s="60"/>
      <c r="F57" s="60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41"/>
      <c r="X57" s="2"/>
      <c r="Y57" s="2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4"/>
      <c r="AV57" s="14"/>
    </row>
    <row r="58" spans="1:48" ht="71.25" customHeight="1" x14ac:dyDescent="0.2">
      <c r="A58" s="20" t="s">
        <v>22</v>
      </c>
      <c r="B58" s="21" t="s">
        <v>74</v>
      </c>
      <c r="C58" s="22" t="s">
        <v>73</v>
      </c>
      <c r="D58" s="23" t="s">
        <v>0</v>
      </c>
      <c r="E58" s="34">
        <f>11.51+6.48+13.8</f>
        <v>31.790000000000003</v>
      </c>
      <c r="F58" s="31"/>
      <c r="G58" s="32">
        <f>(F58/U58)*100</f>
        <v>0</v>
      </c>
      <c r="H58" s="32">
        <f t="shared" ref="H58" si="68">F58*E58</f>
        <v>0</v>
      </c>
      <c r="I58" s="9">
        <v>88</v>
      </c>
      <c r="J58" s="10">
        <f>(I58/U58)*100</f>
        <v>100</v>
      </c>
      <c r="K58" s="10">
        <f t="shared" ref="K58" si="69">I58*E58</f>
        <v>2797.5200000000004</v>
      </c>
      <c r="L58" s="31"/>
      <c r="M58" s="32"/>
      <c r="N58" s="32">
        <f t="shared" ref="N58" si="70">L58*E58</f>
        <v>0</v>
      </c>
      <c r="O58" s="9"/>
      <c r="P58" s="10">
        <f>(O58/U58)*100</f>
        <v>0</v>
      </c>
      <c r="Q58" s="10">
        <f t="shared" ref="Q58" si="71">O58*E58</f>
        <v>0</v>
      </c>
      <c r="R58" s="31"/>
      <c r="S58" s="32">
        <f>(R58/U58)*100</f>
        <v>0</v>
      </c>
      <c r="T58" s="32">
        <f t="shared" ref="T58" si="72">R58*E58</f>
        <v>0</v>
      </c>
      <c r="U58" s="9">
        <f t="shared" ref="U58" si="73">F58+I58+L58+O58+R58</f>
        <v>88</v>
      </c>
      <c r="V58" s="9">
        <f t="shared" ref="V58" si="74">U58*E58</f>
        <v>2797.5200000000004</v>
      </c>
      <c r="X58" s="11"/>
      <c r="Y58" s="2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4"/>
      <c r="AV58" s="14"/>
    </row>
    <row r="59" spans="1:48" ht="15.75" x14ac:dyDescent="0.2">
      <c r="A59" s="61" t="s">
        <v>191</v>
      </c>
      <c r="B59" s="61"/>
      <c r="C59" s="61"/>
      <c r="D59" s="61"/>
      <c r="E59" s="61"/>
      <c r="F59" s="62">
        <f>SUM(H58)</f>
        <v>0</v>
      </c>
      <c r="G59" s="62"/>
      <c r="H59" s="51">
        <f>F59/U59</f>
        <v>0</v>
      </c>
      <c r="I59" s="62">
        <f>SUM(K58)</f>
        <v>2797.5200000000004</v>
      </c>
      <c r="J59" s="62"/>
      <c r="K59" s="51">
        <f>I59/U59</f>
        <v>1</v>
      </c>
      <c r="L59" s="62">
        <f>SUM(N58)</f>
        <v>0</v>
      </c>
      <c r="M59" s="62"/>
      <c r="N59" s="51">
        <f>L59/U59</f>
        <v>0</v>
      </c>
      <c r="O59" s="62">
        <f>SUM(Q58)</f>
        <v>0</v>
      </c>
      <c r="P59" s="62"/>
      <c r="Q59" s="51">
        <f>O59/U59</f>
        <v>0</v>
      </c>
      <c r="R59" s="62">
        <f>SUM(T58)</f>
        <v>0</v>
      </c>
      <c r="S59" s="62"/>
      <c r="T59" s="51">
        <f>R59/U59</f>
        <v>0</v>
      </c>
      <c r="U59" s="63">
        <f>SUM(V58)</f>
        <v>2797.5200000000004</v>
      </c>
      <c r="V59" s="63"/>
      <c r="X59" s="11"/>
      <c r="Y59" s="2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4"/>
      <c r="AV59" s="14"/>
    </row>
    <row r="60" spans="1:48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X60" s="11"/>
      <c r="Y60" s="2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4"/>
      <c r="AV60" s="14"/>
    </row>
    <row r="61" spans="1:48" x14ac:dyDescent="0.2">
      <c r="A61" s="42" t="s">
        <v>23</v>
      </c>
      <c r="B61" s="43"/>
      <c r="C61" s="44" t="s">
        <v>75</v>
      </c>
      <c r="D61" s="60"/>
      <c r="E61" s="60"/>
      <c r="F61" s="60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41"/>
      <c r="X61" s="2"/>
      <c r="Y61" s="2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4"/>
      <c r="AV61" s="14"/>
    </row>
    <row r="62" spans="1:48" ht="69" customHeight="1" x14ac:dyDescent="0.2">
      <c r="A62" s="20" t="s">
        <v>24</v>
      </c>
      <c r="B62" s="21" t="s">
        <v>136</v>
      </c>
      <c r="C62" s="22" t="s">
        <v>135</v>
      </c>
      <c r="D62" s="23" t="s">
        <v>9</v>
      </c>
      <c r="E62" s="34">
        <f>1</f>
        <v>1</v>
      </c>
      <c r="F62" s="31">
        <v>39</v>
      </c>
      <c r="G62" s="32">
        <f t="shared" ref="G62:G69" si="75">(F62/U62)*100</f>
        <v>6.1828212689051645</v>
      </c>
      <c r="H62" s="32">
        <f t="shared" ref="H62:H66" si="76">F62*E62</f>
        <v>39</v>
      </c>
      <c r="I62" s="9">
        <v>542.72</v>
      </c>
      <c r="J62" s="10">
        <f t="shared" ref="J62:J69" si="77">(I62/U62)*100</f>
        <v>86.039506642569506</v>
      </c>
      <c r="K62" s="10">
        <f t="shared" ref="K62:K66" si="78">I62*E62</f>
        <v>542.72</v>
      </c>
      <c r="L62" s="31"/>
      <c r="M62" s="32"/>
      <c r="N62" s="32">
        <f t="shared" ref="N62:N66" si="79">L62*E62</f>
        <v>0</v>
      </c>
      <c r="O62" s="9">
        <v>44.73</v>
      </c>
      <c r="P62" s="10">
        <f t="shared" ref="P62:P69" si="80">(O62/U62)*100</f>
        <v>7.0912203937981531</v>
      </c>
      <c r="Q62" s="10">
        <f t="shared" ref="Q62:Q66" si="81">O62*E62</f>
        <v>44.73</v>
      </c>
      <c r="R62" s="31">
        <v>4.33</v>
      </c>
      <c r="S62" s="32">
        <f t="shared" ref="S62:S69" si="82">(R62/U62)*100</f>
        <v>0.68645169472716316</v>
      </c>
      <c r="T62" s="32">
        <f t="shared" ref="T62:T66" si="83">R62*E62</f>
        <v>4.33</v>
      </c>
      <c r="U62" s="9">
        <f t="shared" ref="U62:U66" si="84">F62+I62+L62+O62+R62</f>
        <v>630.78000000000009</v>
      </c>
      <c r="V62" s="9">
        <f t="shared" ref="V62:V66" si="85">U62*E62</f>
        <v>630.78000000000009</v>
      </c>
      <c r="X62" s="11"/>
      <c r="Y62" s="2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4"/>
      <c r="AV62" s="14"/>
    </row>
    <row r="63" spans="1:48" ht="30" customHeight="1" x14ac:dyDescent="0.2">
      <c r="A63" s="20" t="s">
        <v>84</v>
      </c>
      <c r="B63" s="21" t="s">
        <v>155</v>
      </c>
      <c r="C63" s="22" t="s">
        <v>197</v>
      </c>
      <c r="D63" s="23" t="s">
        <v>0</v>
      </c>
      <c r="E63" s="34">
        <f>0.84</f>
        <v>0.84</v>
      </c>
      <c r="F63" s="31">
        <v>10.95</v>
      </c>
      <c r="G63" s="32">
        <f t="shared" si="75"/>
        <v>2.8717545239968532</v>
      </c>
      <c r="H63" s="32">
        <f t="shared" si="76"/>
        <v>9.1979999999999986</v>
      </c>
      <c r="I63" s="9">
        <v>356.52</v>
      </c>
      <c r="J63" s="10">
        <f t="shared" si="77"/>
        <v>93.501180173092052</v>
      </c>
      <c r="K63" s="10">
        <f t="shared" si="78"/>
        <v>299.47679999999997</v>
      </c>
      <c r="L63" s="31"/>
      <c r="M63" s="32"/>
      <c r="N63" s="32">
        <f t="shared" si="79"/>
        <v>0</v>
      </c>
      <c r="O63" s="9">
        <v>12.56</v>
      </c>
      <c r="P63" s="10">
        <f t="shared" si="80"/>
        <v>3.2939942302648837</v>
      </c>
      <c r="Q63" s="10">
        <f t="shared" si="81"/>
        <v>10.5504</v>
      </c>
      <c r="R63" s="31">
        <v>1.27</v>
      </c>
      <c r="S63" s="32">
        <f t="shared" si="82"/>
        <v>0.33307107264621039</v>
      </c>
      <c r="T63" s="32">
        <f t="shared" si="83"/>
        <v>1.0668</v>
      </c>
      <c r="U63" s="9">
        <f t="shared" si="84"/>
        <v>381.29999999999995</v>
      </c>
      <c r="V63" s="9">
        <f t="shared" si="85"/>
        <v>320.29199999999997</v>
      </c>
      <c r="X63" s="11"/>
      <c r="Y63" s="2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4"/>
      <c r="AV63" s="14"/>
    </row>
    <row r="64" spans="1:48" ht="41.25" customHeight="1" x14ac:dyDescent="0.2">
      <c r="A64" s="20" t="s">
        <v>85</v>
      </c>
      <c r="B64" s="21" t="s">
        <v>77</v>
      </c>
      <c r="C64" s="22" t="s">
        <v>76</v>
      </c>
      <c r="D64" s="23" t="s">
        <v>9</v>
      </c>
      <c r="E64" s="34">
        <f>1</f>
        <v>1</v>
      </c>
      <c r="F64" s="31">
        <v>19.690000000000001</v>
      </c>
      <c r="G64" s="32">
        <f t="shared" si="75"/>
        <v>24.447479513285327</v>
      </c>
      <c r="H64" s="32">
        <f t="shared" si="76"/>
        <v>19.690000000000001</v>
      </c>
      <c r="I64" s="9">
        <v>35.94</v>
      </c>
      <c r="J64" s="10">
        <f t="shared" si="77"/>
        <v>44.623789421405512</v>
      </c>
      <c r="K64" s="10">
        <f t="shared" si="78"/>
        <v>35.94</v>
      </c>
      <c r="L64" s="31"/>
      <c r="M64" s="32"/>
      <c r="N64" s="32">
        <f t="shared" si="79"/>
        <v>0</v>
      </c>
      <c r="O64" s="9">
        <v>22.59</v>
      </c>
      <c r="P64" s="10">
        <f t="shared" si="80"/>
        <v>28.048174819965237</v>
      </c>
      <c r="Q64" s="10">
        <f t="shared" si="81"/>
        <v>22.59</v>
      </c>
      <c r="R64" s="31">
        <v>2.3199999999999998</v>
      </c>
      <c r="S64" s="32">
        <f t="shared" si="82"/>
        <v>2.8805562453439286</v>
      </c>
      <c r="T64" s="32">
        <f t="shared" si="83"/>
        <v>2.3199999999999998</v>
      </c>
      <c r="U64" s="9">
        <f t="shared" si="84"/>
        <v>80.539999999999992</v>
      </c>
      <c r="V64" s="9">
        <f t="shared" si="85"/>
        <v>80.539999999999992</v>
      </c>
      <c r="X64" s="11"/>
      <c r="Y64" s="2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4"/>
      <c r="AV64" s="14"/>
    </row>
    <row r="65" spans="1:48" ht="50.25" customHeight="1" x14ac:dyDescent="0.2">
      <c r="A65" s="20" t="s">
        <v>86</v>
      </c>
      <c r="B65" s="26" t="s">
        <v>79</v>
      </c>
      <c r="C65" s="22" t="s">
        <v>78</v>
      </c>
      <c r="D65" s="23" t="s">
        <v>9</v>
      </c>
      <c r="E65" s="34">
        <f>1</f>
        <v>1</v>
      </c>
      <c r="F65" s="31">
        <v>7.12</v>
      </c>
      <c r="G65" s="32">
        <f t="shared" si="75"/>
        <v>14.56926539799468</v>
      </c>
      <c r="H65" s="32">
        <f t="shared" si="76"/>
        <v>7.12</v>
      </c>
      <c r="I65" s="9">
        <v>32.729999999999997</v>
      </c>
      <c r="J65" s="10">
        <f t="shared" si="77"/>
        <v>66.973603437691835</v>
      </c>
      <c r="K65" s="10">
        <f t="shared" si="78"/>
        <v>32.729999999999997</v>
      </c>
      <c r="L65" s="31"/>
      <c r="M65" s="32"/>
      <c r="N65" s="32">
        <f t="shared" si="79"/>
        <v>0</v>
      </c>
      <c r="O65" s="9">
        <v>8.17</v>
      </c>
      <c r="P65" s="10">
        <f t="shared" si="80"/>
        <v>16.717822795170861</v>
      </c>
      <c r="Q65" s="10">
        <f t="shared" si="81"/>
        <v>8.17</v>
      </c>
      <c r="R65" s="31">
        <v>0.85</v>
      </c>
      <c r="S65" s="32">
        <f t="shared" si="82"/>
        <v>1.7393083691426232</v>
      </c>
      <c r="T65" s="32">
        <f t="shared" si="83"/>
        <v>0.85</v>
      </c>
      <c r="U65" s="9">
        <f t="shared" si="84"/>
        <v>48.87</v>
      </c>
      <c r="V65" s="9">
        <f t="shared" si="85"/>
        <v>48.87</v>
      </c>
      <c r="X65" s="11"/>
      <c r="Y65" s="2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4"/>
      <c r="AV65" s="14"/>
    </row>
    <row r="66" spans="1:48" ht="25.5" x14ac:dyDescent="0.2">
      <c r="A66" s="20" t="s">
        <v>87</v>
      </c>
      <c r="B66" s="26" t="s">
        <v>81</v>
      </c>
      <c r="C66" s="22" t="s">
        <v>80</v>
      </c>
      <c r="D66" s="23" t="s">
        <v>2</v>
      </c>
      <c r="E66" s="34">
        <f>10</f>
        <v>10</v>
      </c>
      <c r="F66" s="31">
        <v>2.34</v>
      </c>
      <c r="G66" s="32">
        <f t="shared" si="75"/>
        <v>24.375</v>
      </c>
      <c r="H66" s="32">
        <f t="shared" si="76"/>
        <v>23.4</v>
      </c>
      <c r="I66" s="9">
        <v>4.34</v>
      </c>
      <c r="J66" s="10">
        <f t="shared" si="77"/>
        <v>45.208333333333336</v>
      </c>
      <c r="K66" s="10">
        <f t="shared" si="78"/>
        <v>43.4</v>
      </c>
      <c r="L66" s="31"/>
      <c r="M66" s="32"/>
      <c r="N66" s="32">
        <f t="shared" si="79"/>
        <v>0</v>
      </c>
      <c r="O66" s="9">
        <v>2.69</v>
      </c>
      <c r="P66" s="10">
        <f t="shared" si="80"/>
        <v>28.020833333333332</v>
      </c>
      <c r="Q66" s="10">
        <f t="shared" si="81"/>
        <v>26.9</v>
      </c>
      <c r="R66" s="31">
        <v>0.23</v>
      </c>
      <c r="S66" s="32">
        <f t="shared" si="82"/>
        <v>2.3958333333333335</v>
      </c>
      <c r="T66" s="32">
        <f t="shared" si="83"/>
        <v>2.3000000000000003</v>
      </c>
      <c r="U66" s="9">
        <f t="shared" si="84"/>
        <v>9.6</v>
      </c>
      <c r="V66" s="9">
        <f t="shared" si="85"/>
        <v>96</v>
      </c>
      <c r="X66" s="11"/>
      <c r="Y66" s="2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4"/>
      <c r="AV66" s="14"/>
    </row>
    <row r="67" spans="1:48" ht="25.5" x14ac:dyDescent="0.2">
      <c r="A67" s="20" t="s">
        <v>88</v>
      </c>
      <c r="B67" s="21" t="s">
        <v>83</v>
      </c>
      <c r="C67" s="22" t="s">
        <v>82</v>
      </c>
      <c r="D67" s="23" t="s">
        <v>9</v>
      </c>
      <c r="E67" s="34">
        <f>1</f>
        <v>1</v>
      </c>
      <c r="F67" s="31">
        <v>10.73</v>
      </c>
      <c r="G67" s="32">
        <f t="shared" si="75"/>
        <v>8.0350456791972444</v>
      </c>
      <c r="H67" s="32">
        <f t="shared" ref="H67" si="86">F67*E67</f>
        <v>10.73</v>
      </c>
      <c r="I67" s="9">
        <v>109.25</v>
      </c>
      <c r="J67" s="10">
        <f t="shared" si="77"/>
        <v>81.810693425190962</v>
      </c>
      <c r="K67" s="10">
        <f t="shared" ref="K67" si="87">I67*E67</f>
        <v>109.25</v>
      </c>
      <c r="L67" s="31"/>
      <c r="M67" s="32"/>
      <c r="N67" s="32">
        <f t="shared" ref="N67" si="88">L67*E67</f>
        <v>0</v>
      </c>
      <c r="O67" s="9">
        <v>12.31</v>
      </c>
      <c r="P67" s="10">
        <f t="shared" si="80"/>
        <v>9.2182117717537828</v>
      </c>
      <c r="Q67" s="10">
        <f t="shared" ref="Q67" si="89">O67*E67</f>
        <v>12.31</v>
      </c>
      <c r="R67" s="31">
        <v>1.25</v>
      </c>
      <c r="S67" s="32">
        <f t="shared" si="82"/>
        <v>0.93604912385802008</v>
      </c>
      <c r="T67" s="32">
        <f t="shared" ref="T67" si="90">R67*E67</f>
        <v>1.25</v>
      </c>
      <c r="U67" s="9">
        <f t="shared" ref="U67" si="91">F67+I67+L67+O67+R67</f>
        <v>133.54</v>
      </c>
      <c r="V67" s="9">
        <f t="shared" ref="V67" si="92">U67*E67</f>
        <v>133.54</v>
      </c>
      <c r="X67" s="11"/>
      <c r="Y67" s="2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4"/>
      <c r="AV67" s="14"/>
    </row>
    <row r="68" spans="1:48" ht="32.25" customHeight="1" x14ac:dyDescent="0.2">
      <c r="A68" s="20" t="s">
        <v>89</v>
      </c>
      <c r="B68" s="21" t="s">
        <v>113</v>
      </c>
      <c r="C68" s="22" t="s">
        <v>112</v>
      </c>
      <c r="D68" s="23" t="s">
        <v>9</v>
      </c>
      <c r="E68" s="34">
        <f>1</f>
        <v>1</v>
      </c>
      <c r="F68" s="31">
        <v>5.91</v>
      </c>
      <c r="G68" s="32">
        <f t="shared" si="75"/>
        <v>9.4048376830044571</v>
      </c>
      <c r="H68" s="32">
        <f t="shared" ref="H68:H70" si="93">F68*E68</f>
        <v>5.91</v>
      </c>
      <c r="I68" s="9">
        <v>49.47</v>
      </c>
      <c r="J68" s="10">
        <f t="shared" si="77"/>
        <v>78.723742838956085</v>
      </c>
      <c r="K68" s="10">
        <f t="shared" ref="K68:K70" si="94">I68*E68</f>
        <v>49.47</v>
      </c>
      <c r="L68" s="31"/>
      <c r="M68" s="32"/>
      <c r="N68" s="32">
        <f t="shared" ref="N68:N70" si="95">L68*E68</f>
        <v>0</v>
      </c>
      <c r="O68" s="9">
        <v>6.78</v>
      </c>
      <c r="P68" s="10">
        <f t="shared" si="80"/>
        <v>10.789306174411204</v>
      </c>
      <c r="Q68" s="10">
        <f t="shared" ref="Q68:Q70" si="96">O68*E68</f>
        <v>6.78</v>
      </c>
      <c r="R68" s="31">
        <v>0.68</v>
      </c>
      <c r="S68" s="32">
        <f t="shared" si="82"/>
        <v>1.0821133036282624</v>
      </c>
      <c r="T68" s="32">
        <f t="shared" ref="T68:T70" si="97">R68*E68</f>
        <v>0.68</v>
      </c>
      <c r="U68" s="9">
        <f t="shared" ref="U68:U70" si="98">F68+I68+L68+O68+R68</f>
        <v>62.839999999999996</v>
      </c>
      <c r="V68" s="9">
        <f t="shared" ref="V68:V70" si="99">U68*E68</f>
        <v>62.839999999999996</v>
      </c>
      <c r="X68" s="11"/>
      <c r="Y68" s="2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4"/>
      <c r="AV68" s="14"/>
    </row>
    <row r="69" spans="1:48" ht="29.25" customHeight="1" x14ac:dyDescent="0.2">
      <c r="A69" s="20" t="s">
        <v>90</v>
      </c>
      <c r="B69" s="21" t="s">
        <v>115</v>
      </c>
      <c r="C69" s="22" t="s">
        <v>114</v>
      </c>
      <c r="D69" s="23" t="s">
        <v>9</v>
      </c>
      <c r="E69" s="34">
        <f>1</f>
        <v>1</v>
      </c>
      <c r="F69" s="31">
        <v>44.62</v>
      </c>
      <c r="G69" s="32">
        <f t="shared" si="75"/>
        <v>20.584029155325918</v>
      </c>
      <c r="H69" s="32">
        <f t="shared" si="93"/>
        <v>44.62</v>
      </c>
      <c r="I69" s="9">
        <v>115.63</v>
      </c>
      <c r="J69" s="10">
        <f t="shared" si="77"/>
        <v>53.34225215666374</v>
      </c>
      <c r="K69" s="10">
        <f t="shared" si="94"/>
        <v>115.63</v>
      </c>
      <c r="L69" s="31">
        <v>0.08</v>
      </c>
      <c r="M69" s="32">
        <f>(L69/U69)*100</f>
        <v>3.690547584997924E-2</v>
      </c>
      <c r="N69" s="32">
        <f t="shared" si="95"/>
        <v>0.08</v>
      </c>
      <c r="O69" s="9">
        <v>51.19</v>
      </c>
      <c r="P69" s="10">
        <f t="shared" si="80"/>
        <v>23.614891359505464</v>
      </c>
      <c r="Q69" s="10">
        <f t="shared" si="96"/>
        <v>51.19</v>
      </c>
      <c r="R69" s="31">
        <v>5.25</v>
      </c>
      <c r="S69" s="32">
        <f t="shared" si="82"/>
        <v>2.4219218526548874</v>
      </c>
      <c r="T69" s="32">
        <f t="shared" si="97"/>
        <v>5.25</v>
      </c>
      <c r="U69" s="9">
        <f t="shared" si="98"/>
        <v>216.77</v>
      </c>
      <c r="V69" s="9">
        <f t="shared" si="99"/>
        <v>216.77</v>
      </c>
      <c r="X69" s="11"/>
      <c r="Y69" s="2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4"/>
      <c r="AV69" s="14"/>
    </row>
    <row r="70" spans="1:48" ht="65.25" customHeight="1" x14ac:dyDescent="0.2">
      <c r="A70" s="20" t="s">
        <v>92</v>
      </c>
      <c r="B70" s="21" t="s">
        <v>148</v>
      </c>
      <c r="C70" s="22" t="s">
        <v>147</v>
      </c>
      <c r="D70" s="23" t="s">
        <v>9</v>
      </c>
      <c r="E70" s="34">
        <f>1</f>
        <v>1</v>
      </c>
      <c r="F70" s="31">
        <v>2.06</v>
      </c>
      <c r="G70" s="32">
        <v>23.295454500000002</v>
      </c>
      <c r="H70" s="32">
        <f t="shared" si="93"/>
        <v>2.06</v>
      </c>
      <c r="I70" s="9">
        <v>6.82</v>
      </c>
      <c r="J70" s="10">
        <v>76.704545499999995</v>
      </c>
      <c r="K70" s="10">
        <f t="shared" si="94"/>
        <v>6.82</v>
      </c>
      <c r="L70" s="31"/>
      <c r="M70" s="32"/>
      <c r="N70" s="32">
        <f t="shared" si="95"/>
        <v>0</v>
      </c>
      <c r="O70" s="9"/>
      <c r="P70" s="10"/>
      <c r="Q70" s="10">
        <f t="shared" si="96"/>
        <v>0</v>
      </c>
      <c r="R70" s="31"/>
      <c r="S70" s="32"/>
      <c r="T70" s="32">
        <f t="shared" si="97"/>
        <v>0</v>
      </c>
      <c r="U70" s="9">
        <f t="shared" si="98"/>
        <v>8.8800000000000008</v>
      </c>
      <c r="V70" s="9">
        <f t="shared" si="99"/>
        <v>8.8800000000000008</v>
      </c>
      <c r="X70" s="11"/>
      <c r="Y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4"/>
      <c r="AV70" s="14"/>
    </row>
    <row r="71" spans="1:48" ht="15.75" x14ac:dyDescent="0.2">
      <c r="A71" s="61" t="s">
        <v>191</v>
      </c>
      <c r="B71" s="61"/>
      <c r="C71" s="61"/>
      <c r="D71" s="61"/>
      <c r="E71" s="61"/>
      <c r="F71" s="62">
        <f>SUM(H62:H70)</f>
        <v>161.72800000000001</v>
      </c>
      <c r="G71" s="62"/>
      <c r="H71" s="51">
        <f>F71/U71</f>
        <v>0.10117409190547209</v>
      </c>
      <c r="I71" s="62">
        <f>SUM(K62:K70)</f>
        <v>1235.4367999999997</v>
      </c>
      <c r="J71" s="62"/>
      <c r="K71" s="51">
        <f>I71/U71</f>
        <v>0.77286676609246585</v>
      </c>
      <c r="L71" s="62">
        <f>SUM(N62:N70)</f>
        <v>0.08</v>
      </c>
      <c r="M71" s="62"/>
      <c r="N71" s="51">
        <f>L71/U71</f>
        <v>5.0046543285255293E-5</v>
      </c>
      <c r="O71" s="62">
        <f>SUM(Q62:Q70)</f>
        <v>183.22040000000001</v>
      </c>
      <c r="P71" s="62"/>
      <c r="Q71" s="51">
        <f>O71/U71</f>
        <v>0.11461934599177236</v>
      </c>
      <c r="R71" s="62">
        <f>SUM(T62:T70)</f>
        <v>18.046799999999998</v>
      </c>
      <c r="S71" s="62"/>
      <c r="T71" s="51">
        <f>R71/U71</f>
        <v>1.1289749467004314E-2</v>
      </c>
      <c r="U71" s="63">
        <f>SUM(V62:V70)</f>
        <v>1598.5119999999999</v>
      </c>
      <c r="V71" s="63"/>
      <c r="X71" s="11"/>
      <c r="Y71" s="2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4"/>
      <c r="AV71" s="14"/>
    </row>
    <row r="72" spans="1:48" x14ac:dyDescent="0.2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X72" s="11"/>
      <c r="Y72" s="2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4"/>
      <c r="AV72" s="14"/>
    </row>
    <row r="73" spans="1:48" x14ac:dyDescent="0.2">
      <c r="A73" s="42" t="s">
        <v>25</v>
      </c>
      <c r="B73" s="43"/>
      <c r="C73" s="44" t="s">
        <v>3</v>
      </c>
      <c r="D73" s="60"/>
      <c r="E73" s="60"/>
      <c r="F73" s="60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41"/>
      <c r="X73" s="2"/>
      <c r="Y73" s="2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4"/>
      <c r="AV73" s="14"/>
    </row>
    <row r="74" spans="1:48" ht="38.25" x14ac:dyDescent="0.2">
      <c r="A74" s="20" t="s">
        <v>26</v>
      </c>
      <c r="B74" s="21" t="s">
        <v>98</v>
      </c>
      <c r="C74" s="22" t="s">
        <v>97</v>
      </c>
      <c r="D74" s="23" t="s">
        <v>0</v>
      </c>
      <c r="E74" s="34">
        <f>11.21+5.33+18.51+3.51+5.97</f>
        <v>44.529999999999994</v>
      </c>
      <c r="F74" s="31">
        <v>4.3499999999999996</v>
      </c>
      <c r="G74" s="32">
        <f t="shared" ref="G74:G79" si="100">(F74/U74)*100</f>
        <v>32.414307004470935</v>
      </c>
      <c r="H74" s="32">
        <f t="shared" ref="H74:H80" si="101">F74*E74</f>
        <v>193.70549999999997</v>
      </c>
      <c r="I74" s="9">
        <v>3.63</v>
      </c>
      <c r="J74" s="10">
        <f t="shared" ref="J74:J79" si="102">(I74/U74)*100</f>
        <v>27.04918032786885</v>
      </c>
      <c r="K74" s="10">
        <f t="shared" ref="K74:K80" si="103">I74*E74</f>
        <v>161.64389999999997</v>
      </c>
      <c r="L74" s="31"/>
      <c r="M74" s="32"/>
      <c r="N74" s="32">
        <f t="shared" ref="N74:N80" si="104">L74*E74</f>
        <v>0</v>
      </c>
      <c r="O74" s="9">
        <v>4.97</v>
      </c>
      <c r="P74" s="10">
        <f t="shared" ref="P74:P79" si="105">(O74/U74)*100</f>
        <v>37.034277198211626</v>
      </c>
      <c r="Q74" s="10">
        <f t="shared" ref="Q74:Q80" si="106">O74*E74</f>
        <v>221.31409999999997</v>
      </c>
      <c r="R74" s="31">
        <v>0.47</v>
      </c>
      <c r="S74" s="32">
        <f t="shared" ref="S74:S79" si="107">(R74/U74)*100</f>
        <v>3.5022354694485842</v>
      </c>
      <c r="T74" s="32">
        <f t="shared" ref="T74:T80" si="108">R74*E74</f>
        <v>20.929099999999995</v>
      </c>
      <c r="U74" s="9">
        <f t="shared" ref="U74:U80" si="109">F74+I74+L74+O74+R74</f>
        <v>13.42</v>
      </c>
      <c r="V74" s="9">
        <f t="shared" ref="V74:V80" si="110">U74*E74</f>
        <v>597.59259999999995</v>
      </c>
      <c r="X74" s="11"/>
      <c r="Y74" s="2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4"/>
      <c r="AV74" s="14"/>
    </row>
    <row r="75" spans="1:48" ht="52.5" customHeight="1" x14ac:dyDescent="0.2">
      <c r="A75" s="20" t="s">
        <v>27</v>
      </c>
      <c r="B75" s="7" t="s">
        <v>100</v>
      </c>
      <c r="C75" s="17" t="s">
        <v>99</v>
      </c>
      <c r="D75" s="7" t="s">
        <v>0</v>
      </c>
      <c r="E75" s="34">
        <f>207.9</f>
        <v>207.9</v>
      </c>
      <c r="F75" s="31">
        <v>3.38</v>
      </c>
      <c r="G75" s="32">
        <f t="shared" si="100"/>
        <v>28.143213988343053</v>
      </c>
      <c r="H75" s="32">
        <f t="shared" si="101"/>
        <v>702.702</v>
      </c>
      <c r="I75" s="9">
        <v>4.3899999999999997</v>
      </c>
      <c r="J75" s="10">
        <f t="shared" si="102"/>
        <v>36.552872606161536</v>
      </c>
      <c r="K75" s="10">
        <f t="shared" si="103"/>
        <v>912.68099999999993</v>
      </c>
      <c r="L75" s="31"/>
      <c r="M75" s="32"/>
      <c r="N75" s="32">
        <f t="shared" si="104"/>
        <v>0</v>
      </c>
      <c r="O75" s="9">
        <v>3.88</v>
      </c>
      <c r="P75" s="10">
        <f t="shared" si="105"/>
        <v>32.306411323896754</v>
      </c>
      <c r="Q75" s="10">
        <f t="shared" si="106"/>
        <v>806.65200000000004</v>
      </c>
      <c r="R75" s="31">
        <v>0.36</v>
      </c>
      <c r="S75" s="32">
        <f t="shared" si="107"/>
        <v>2.9975020815986682</v>
      </c>
      <c r="T75" s="32">
        <f t="shared" si="108"/>
        <v>74.843999999999994</v>
      </c>
      <c r="U75" s="9">
        <f t="shared" si="109"/>
        <v>12.009999999999998</v>
      </c>
      <c r="V75" s="9">
        <f t="shared" si="110"/>
        <v>2496.8789999999995</v>
      </c>
      <c r="X75" s="11"/>
      <c r="Y75" s="2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4"/>
      <c r="AV75" s="14"/>
    </row>
    <row r="76" spans="1:48" ht="38.25" x14ac:dyDescent="0.2">
      <c r="A76" s="20" t="s">
        <v>28</v>
      </c>
      <c r="B76" s="21" t="s">
        <v>102</v>
      </c>
      <c r="C76" s="22" t="s">
        <v>101</v>
      </c>
      <c r="D76" s="23" t="s">
        <v>0</v>
      </c>
      <c r="E76" s="34">
        <f>4.11+4.11</f>
        <v>8.2200000000000006</v>
      </c>
      <c r="F76" s="31">
        <v>3.38</v>
      </c>
      <c r="G76" s="32">
        <f t="shared" si="100"/>
        <v>25.037037037037035</v>
      </c>
      <c r="H76" s="32">
        <f t="shared" si="101"/>
        <v>27.7836</v>
      </c>
      <c r="I76" s="9">
        <v>5.88</v>
      </c>
      <c r="J76" s="10">
        <f t="shared" si="102"/>
        <v>43.55555555555555</v>
      </c>
      <c r="K76" s="10">
        <f t="shared" si="103"/>
        <v>48.333600000000004</v>
      </c>
      <c r="L76" s="31"/>
      <c r="M76" s="32"/>
      <c r="N76" s="32">
        <f t="shared" si="104"/>
        <v>0</v>
      </c>
      <c r="O76" s="9">
        <v>3.88</v>
      </c>
      <c r="P76" s="10">
        <f t="shared" si="105"/>
        <v>28.74074074074074</v>
      </c>
      <c r="Q76" s="10">
        <f t="shared" si="106"/>
        <v>31.893600000000003</v>
      </c>
      <c r="R76" s="31">
        <v>0.36</v>
      </c>
      <c r="S76" s="32">
        <f t="shared" si="107"/>
        <v>2.6666666666666665</v>
      </c>
      <c r="T76" s="32">
        <f t="shared" si="108"/>
        <v>2.9592000000000001</v>
      </c>
      <c r="U76" s="9">
        <f t="shared" si="109"/>
        <v>13.5</v>
      </c>
      <c r="V76" s="9">
        <f t="shared" si="110"/>
        <v>110.97000000000001</v>
      </c>
      <c r="X76" s="11"/>
      <c r="Y76" s="2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4"/>
      <c r="AV76" s="14"/>
    </row>
    <row r="77" spans="1:48" ht="51" x14ac:dyDescent="0.2">
      <c r="A77" s="20" t="s">
        <v>109</v>
      </c>
      <c r="B77" s="7" t="s">
        <v>104</v>
      </c>
      <c r="C77" s="17" t="s">
        <v>103</v>
      </c>
      <c r="D77" s="7" t="s">
        <v>0</v>
      </c>
      <c r="E77" s="34">
        <f>4.11+4.11</f>
        <v>8.2200000000000006</v>
      </c>
      <c r="F77" s="31">
        <v>3.47</v>
      </c>
      <c r="G77" s="32">
        <f t="shared" si="100"/>
        <v>24.063800277392509</v>
      </c>
      <c r="H77" s="32">
        <f t="shared" si="101"/>
        <v>28.523400000000002</v>
      </c>
      <c r="I77" s="9">
        <v>6.56</v>
      </c>
      <c r="J77" s="10">
        <f t="shared" si="102"/>
        <v>45.492371705963933</v>
      </c>
      <c r="K77" s="10">
        <f t="shared" si="103"/>
        <v>53.923200000000001</v>
      </c>
      <c r="L77" s="31"/>
      <c r="M77" s="32"/>
      <c r="N77" s="32">
        <f t="shared" si="104"/>
        <v>0</v>
      </c>
      <c r="O77" s="9">
        <v>3.99</v>
      </c>
      <c r="P77" s="10">
        <f t="shared" si="105"/>
        <v>27.669902912621364</v>
      </c>
      <c r="Q77" s="10">
        <f t="shared" si="106"/>
        <v>32.797800000000002</v>
      </c>
      <c r="R77" s="31">
        <v>0.4</v>
      </c>
      <c r="S77" s="32">
        <f t="shared" si="107"/>
        <v>2.7739251040221915</v>
      </c>
      <c r="T77" s="32">
        <f t="shared" si="108"/>
        <v>3.2880000000000003</v>
      </c>
      <c r="U77" s="9">
        <f t="shared" si="109"/>
        <v>14.42</v>
      </c>
      <c r="V77" s="9">
        <f t="shared" si="110"/>
        <v>118.53240000000001</v>
      </c>
      <c r="X77" s="27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4"/>
      <c r="AV77" s="14"/>
    </row>
    <row r="78" spans="1:48" ht="51" x14ac:dyDescent="0.2">
      <c r="A78" s="20" t="s">
        <v>129</v>
      </c>
      <c r="B78" s="7" t="s">
        <v>106</v>
      </c>
      <c r="C78" s="17" t="s">
        <v>105</v>
      </c>
      <c r="D78" s="7" t="s">
        <v>0</v>
      </c>
      <c r="E78" s="34">
        <f>207.9</f>
        <v>207.9</v>
      </c>
      <c r="F78" s="31">
        <v>3.47</v>
      </c>
      <c r="G78" s="32">
        <f t="shared" si="100"/>
        <v>29.013377926421402</v>
      </c>
      <c r="H78" s="32">
        <f t="shared" si="101"/>
        <v>721.41300000000001</v>
      </c>
      <c r="I78" s="9">
        <v>4.0999999999999996</v>
      </c>
      <c r="J78" s="10">
        <f t="shared" si="102"/>
        <v>34.280936454849495</v>
      </c>
      <c r="K78" s="10">
        <f t="shared" si="103"/>
        <v>852.39</v>
      </c>
      <c r="L78" s="31"/>
      <c r="M78" s="32"/>
      <c r="N78" s="32">
        <f t="shared" si="104"/>
        <v>0</v>
      </c>
      <c r="O78" s="9">
        <v>3.99</v>
      </c>
      <c r="P78" s="10">
        <f t="shared" si="105"/>
        <v>33.361204013377929</v>
      </c>
      <c r="Q78" s="10">
        <f t="shared" si="106"/>
        <v>829.52100000000007</v>
      </c>
      <c r="R78" s="31">
        <v>0.4</v>
      </c>
      <c r="S78" s="32">
        <f t="shared" si="107"/>
        <v>3.3444816053511706</v>
      </c>
      <c r="T78" s="32">
        <f t="shared" si="108"/>
        <v>83.160000000000011</v>
      </c>
      <c r="U78" s="9">
        <f t="shared" si="109"/>
        <v>11.96</v>
      </c>
      <c r="V78" s="9">
        <f t="shared" si="110"/>
        <v>2486.4840000000004</v>
      </c>
      <c r="X78" s="27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4"/>
      <c r="AV78" s="14"/>
    </row>
    <row r="79" spans="1:48" ht="51" x14ac:dyDescent="0.2">
      <c r="A79" s="20" t="s">
        <v>130</v>
      </c>
      <c r="B79" s="7" t="s">
        <v>108</v>
      </c>
      <c r="C79" s="17" t="s">
        <v>107</v>
      </c>
      <c r="D79" s="7" t="s">
        <v>0</v>
      </c>
      <c r="E79" s="34">
        <f>36.3+27.1+43.84+16.85+35.72</f>
        <v>159.81</v>
      </c>
      <c r="F79" s="31">
        <v>3.47</v>
      </c>
      <c r="G79" s="32">
        <f t="shared" si="100"/>
        <v>29.135180520570952</v>
      </c>
      <c r="H79" s="32">
        <f t="shared" si="101"/>
        <v>554.54070000000002</v>
      </c>
      <c r="I79" s="9">
        <v>4.05</v>
      </c>
      <c r="J79" s="10">
        <f t="shared" si="102"/>
        <v>34.005037783375315</v>
      </c>
      <c r="K79" s="10">
        <f t="shared" si="103"/>
        <v>647.23050000000001</v>
      </c>
      <c r="L79" s="31"/>
      <c r="M79" s="32"/>
      <c r="N79" s="32">
        <f t="shared" si="104"/>
        <v>0</v>
      </c>
      <c r="O79" s="9">
        <v>3.99</v>
      </c>
      <c r="P79" s="10">
        <f t="shared" si="105"/>
        <v>33.501259445843829</v>
      </c>
      <c r="Q79" s="10">
        <f t="shared" si="106"/>
        <v>637.64190000000008</v>
      </c>
      <c r="R79" s="31">
        <v>0.4</v>
      </c>
      <c r="S79" s="32">
        <f t="shared" si="107"/>
        <v>3.3585222502099077</v>
      </c>
      <c r="T79" s="32">
        <f t="shared" si="108"/>
        <v>63.924000000000007</v>
      </c>
      <c r="U79" s="9">
        <f t="shared" si="109"/>
        <v>11.91</v>
      </c>
      <c r="V79" s="9">
        <f t="shared" si="110"/>
        <v>1903.3371</v>
      </c>
      <c r="X79" s="27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4"/>
      <c r="AV79" s="14"/>
    </row>
    <row r="80" spans="1:48" ht="25.5" x14ac:dyDescent="0.2">
      <c r="A80" s="20" t="s">
        <v>206</v>
      </c>
      <c r="B80" s="7" t="s">
        <v>157</v>
      </c>
      <c r="C80" s="17" t="s">
        <v>156</v>
      </c>
      <c r="D80" s="7" t="s">
        <v>0</v>
      </c>
      <c r="E80" s="34">
        <f>6.59</f>
        <v>6.59</v>
      </c>
      <c r="F80" s="31">
        <v>8.65</v>
      </c>
      <c r="G80" s="32">
        <v>60.435699300000003</v>
      </c>
      <c r="H80" s="32">
        <f t="shared" si="101"/>
        <v>57.003500000000003</v>
      </c>
      <c r="I80" s="9">
        <v>5.65</v>
      </c>
      <c r="J80" s="10">
        <v>39.564300699999997</v>
      </c>
      <c r="K80" s="10">
        <f t="shared" si="103"/>
        <v>37.233499999999999</v>
      </c>
      <c r="L80" s="31"/>
      <c r="M80" s="32"/>
      <c r="N80" s="32">
        <f t="shared" si="104"/>
        <v>0</v>
      </c>
      <c r="O80" s="9"/>
      <c r="P80" s="10"/>
      <c r="Q80" s="10">
        <f t="shared" si="106"/>
        <v>0</v>
      </c>
      <c r="R80" s="31"/>
      <c r="S80" s="32"/>
      <c r="T80" s="32">
        <f t="shared" si="108"/>
        <v>0</v>
      </c>
      <c r="U80" s="9">
        <f t="shared" si="109"/>
        <v>14.3</v>
      </c>
      <c r="V80" s="9">
        <f t="shared" si="110"/>
        <v>94.237000000000009</v>
      </c>
      <c r="X80" s="27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4"/>
      <c r="AV80" s="14"/>
    </row>
    <row r="81" spans="1:48" ht="15.75" x14ac:dyDescent="0.2">
      <c r="A81" s="61" t="s">
        <v>191</v>
      </c>
      <c r="B81" s="61"/>
      <c r="C81" s="61"/>
      <c r="D81" s="61"/>
      <c r="E81" s="61"/>
      <c r="F81" s="62">
        <f>SUM(H74:H80)</f>
        <v>2285.6716999999999</v>
      </c>
      <c r="G81" s="62"/>
      <c r="H81" s="51">
        <f>F81/U81</f>
        <v>0.29273338924925785</v>
      </c>
      <c r="I81" s="62">
        <f>SUM(K74:K80)</f>
        <v>2713.4356999999995</v>
      </c>
      <c r="J81" s="62"/>
      <c r="K81" s="51">
        <f>I81/U81</f>
        <v>0.34751851237906667</v>
      </c>
      <c r="L81" s="62">
        <f>SUM(N74:N80)</f>
        <v>0</v>
      </c>
      <c r="M81" s="62"/>
      <c r="N81" s="51">
        <f>L81/U81</f>
        <v>0</v>
      </c>
      <c r="O81" s="62">
        <f>SUM(Q74:Q80)</f>
        <v>2559.8204000000005</v>
      </c>
      <c r="P81" s="62"/>
      <c r="Q81" s="51">
        <f>O81/U81</f>
        <v>0.3278445025859974</v>
      </c>
      <c r="R81" s="62">
        <f>SUM(T74:T80)</f>
        <v>249.10429999999999</v>
      </c>
      <c r="S81" s="62"/>
      <c r="T81" s="51">
        <f>R81/U81</f>
        <v>3.1903595785678189E-2</v>
      </c>
      <c r="U81" s="63">
        <f>SUM(V74:V80)</f>
        <v>7808.0320999999994</v>
      </c>
      <c r="V81" s="63"/>
      <c r="X81" s="27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4"/>
      <c r="AV81" s="14"/>
    </row>
    <row r="82" spans="1:48" x14ac:dyDescent="0.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X82" s="27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4"/>
      <c r="AV82" s="14"/>
    </row>
    <row r="83" spans="1:48" x14ac:dyDescent="0.2">
      <c r="A83" s="42" t="s">
        <v>29</v>
      </c>
      <c r="B83" s="43"/>
      <c r="C83" s="44" t="s">
        <v>38</v>
      </c>
      <c r="D83" s="60"/>
      <c r="E83" s="60"/>
      <c r="F83" s="60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41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4"/>
      <c r="AV83" s="14"/>
    </row>
    <row r="84" spans="1:48" ht="25.5" x14ac:dyDescent="0.2">
      <c r="A84" s="25" t="s">
        <v>30</v>
      </c>
      <c r="B84" s="18" t="s">
        <v>94</v>
      </c>
      <c r="C84" s="22" t="s">
        <v>93</v>
      </c>
      <c r="D84" s="19" t="s">
        <v>9</v>
      </c>
      <c r="E84" s="34"/>
      <c r="F84" s="31">
        <v>0.91</v>
      </c>
      <c r="G84" s="32">
        <f>(F84/U84)*100</f>
        <v>5.2178899082568817</v>
      </c>
      <c r="H84" s="32">
        <f t="shared" ref="H84:H89" si="111">F84*E84</f>
        <v>0</v>
      </c>
      <c r="I84" s="9">
        <v>15.36</v>
      </c>
      <c r="J84" s="10">
        <f>(I84/U84)*100</f>
        <v>88.073394495412856</v>
      </c>
      <c r="K84" s="10">
        <f t="shared" ref="K84:K89" si="112">I84*E84</f>
        <v>0</v>
      </c>
      <c r="L84" s="31"/>
      <c r="M84" s="32"/>
      <c r="N84" s="32">
        <f t="shared" ref="N84:N89" si="113">L84*E84</f>
        <v>0</v>
      </c>
      <c r="O84" s="9">
        <v>1.04</v>
      </c>
      <c r="P84" s="10">
        <f>(O84/U84)*100</f>
        <v>5.9633027522935791</v>
      </c>
      <c r="Q84" s="10">
        <f t="shared" ref="Q84:Q89" si="114">O84*E84</f>
        <v>0</v>
      </c>
      <c r="R84" s="31">
        <v>0.13</v>
      </c>
      <c r="S84" s="32">
        <f>(R84/U84)*100</f>
        <v>0.74541284403669739</v>
      </c>
      <c r="T84" s="32">
        <f t="shared" ref="T84:T89" si="115">R84*E84</f>
        <v>0</v>
      </c>
      <c r="U84" s="9">
        <f t="shared" ref="U84:U89" si="116">F84+I84+L84+O84+R84</f>
        <v>17.439999999999998</v>
      </c>
      <c r="V84" s="9">
        <f t="shared" ref="V84:V89" si="117">U84*E84</f>
        <v>0</v>
      </c>
      <c r="X84" s="27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4"/>
      <c r="AV84" s="14"/>
    </row>
    <row r="85" spans="1:48" ht="38.25" x14ac:dyDescent="0.2">
      <c r="A85" s="25" t="s">
        <v>31</v>
      </c>
      <c r="B85" s="18" t="s">
        <v>96</v>
      </c>
      <c r="C85" s="22" t="s">
        <v>95</v>
      </c>
      <c r="D85" s="19" t="s">
        <v>9</v>
      </c>
      <c r="E85" s="34"/>
      <c r="F85" s="31">
        <v>0.64</v>
      </c>
      <c r="G85" s="32">
        <f>(F85/U85)*100</f>
        <v>0.30979234232053826</v>
      </c>
      <c r="H85" s="32">
        <f t="shared" si="111"/>
        <v>0</v>
      </c>
      <c r="I85" s="9">
        <v>205.15</v>
      </c>
      <c r="J85" s="10">
        <f>(I85/U85)*100</f>
        <v>99.302967229778787</v>
      </c>
      <c r="K85" s="10">
        <f t="shared" si="112"/>
        <v>0</v>
      </c>
      <c r="L85" s="31"/>
      <c r="M85" s="32"/>
      <c r="N85" s="32">
        <f t="shared" si="113"/>
        <v>0</v>
      </c>
      <c r="O85" s="9">
        <v>0.74</v>
      </c>
      <c r="P85" s="10">
        <f>(O85/U85)*100</f>
        <v>0.35819739580812238</v>
      </c>
      <c r="Q85" s="10">
        <f t="shared" si="114"/>
        <v>0</v>
      </c>
      <c r="R85" s="31">
        <v>0.06</v>
      </c>
      <c r="S85" s="32">
        <f>(R85/U85)*100</f>
        <v>2.904303209255046E-2</v>
      </c>
      <c r="T85" s="32">
        <f t="shared" si="115"/>
        <v>0</v>
      </c>
      <c r="U85" s="9">
        <f t="shared" si="116"/>
        <v>206.59</v>
      </c>
      <c r="V85" s="9">
        <f t="shared" si="117"/>
        <v>0</v>
      </c>
      <c r="X85" s="27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4"/>
      <c r="AV85" s="14"/>
    </row>
    <row r="86" spans="1:48" ht="25.5" x14ac:dyDescent="0.2">
      <c r="A86" s="25" t="s">
        <v>32</v>
      </c>
      <c r="B86" s="18" t="s">
        <v>213</v>
      </c>
      <c r="C86" s="22" t="s">
        <v>212</v>
      </c>
      <c r="D86" s="19" t="s">
        <v>2</v>
      </c>
      <c r="E86" s="34">
        <f>48.47</f>
        <v>48.47</v>
      </c>
      <c r="F86" s="31">
        <v>0.63</v>
      </c>
      <c r="G86" s="32">
        <f>(F86/U86)*100</f>
        <v>21.000000000000004</v>
      </c>
      <c r="H86" s="32">
        <f t="shared" ref="H86" si="118">F86*E86</f>
        <v>30.536100000000001</v>
      </c>
      <c r="I86" s="9">
        <v>1.58</v>
      </c>
      <c r="J86" s="10">
        <f>(I86/U86)*100</f>
        <v>52.666666666666671</v>
      </c>
      <c r="K86" s="10">
        <f t="shared" ref="K86" si="119">I86*E86</f>
        <v>76.582599999999999</v>
      </c>
      <c r="L86" s="31"/>
      <c r="M86" s="32"/>
      <c r="N86" s="32">
        <f t="shared" ref="N86" si="120">L86*E86</f>
        <v>0</v>
      </c>
      <c r="O86" s="9">
        <v>0.72</v>
      </c>
      <c r="P86" s="10">
        <f>(O86/U86)*100</f>
        <v>24.000000000000004</v>
      </c>
      <c r="Q86" s="10">
        <f t="shared" ref="Q86" si="121">O86*E86</f>
        <v>34.898399999999995</v>
      </c>
      <c r="R86" s="31">
        <v>7.0000000000000007E-2</v>
      </c>
      <c r="S86" s="32">
        <f>(R86/U86)*100</f>
        <v>2.3333333333333339</v>
      </c>
      <c r="T86" s="32">
        <f t="shared" ref="T86" si="122">R86*E86</f>
        <v>3.3929</v>
      </c>
      <c r="U86" s="9">
        <f t="shared" ref="U86" si="123">F86+I86+L86+O86+R86</f>
        <v>2.9999999999999996</v>
      </c>
      <c r="V86" s="9">
        <f t="shared" si="117"/>
        <v>145.40999999999997</v>
      </c>
      <c r="X86" s="27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4"/>
      <c r="AV86" s="14"/>
    </row>
    <row r="87" spans="1:48" ht="39.75" customHeight="1" x14ac:dyDescent="0.2">
      <c r="A87" s="25" t="s">
        <v>204</v>
      </c>
      <c r="B87" s="21" t="s">
        <v>132</v>
      </c>
      <c r="C87" s="22" t="s">
        <v>131</v>
      </c>
      <c r="D87" s="19" t="s">
        <v>2</v>
      </c>
      <c r="E87" s="34">
        <f>1.4+1.4+1.4+4.2</f>
        <v>8.3999999999999986</v>
      </c>
      <c r="F87" s="31">
        <v>5.59</v>
      </c>
      <c r="G87" s="32">
        <v>23.106060599999999</v>
      </c>
      <c r="H87" s="32">
        <f t="shared" si="111"/>
        <v>46.955999999999989</v>
      </c>
      <c r="I87" s="9">
        <v>18.55</v>
      </c>
      <c r="J87" s="10">
        <v>76.6414142</v>
      </c>
      <c r="K87" s="10">
        <f t="shared" si="112"/>
        <v>155.82</v>
      </c>
      <c r="L87" s="31">
        <v>0.03</v>
      </c>
      <c r="M87" s="32">
        <v>0.1262626</v>
      </c>
      <c r="N87" s="32">
        <f t="shared" si="113"/>
        <v>0.25199999999999995</v>
      </c>
      <c r="O87" s="9"/>
      <c r="P87" s="10"/>
      <c r="Q87" s="10">
        <f t="shared" si="114"/>
        <v>0</v>
      </c>
      <c r="R87" s="31">
        <v>0.03</v>
      </c>
      <c r="S87" s="32">
        <v>0.1262626</v>
      </c>
      <c r="T87" s="32">
        <f t="shared" si="115"/>
        <v>0.25199999999999995</v>
      </c>
      <c r="U87" s="9">
        <f t="shared" si="116"/>
        <v>24.200000000000003</v>
      </c>
      <c r="V87" s="9">
        <f t="shared" si="117"/>
        <v>203.28</v>
      </c>
      <c r="X87" s="27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4"/>
      <c r="AV87" s="14"/>
    </row>
    <row r="88" spans="1:48" ht="38.25" x14ac:dyDescent="0.2">
      <c r="A88" s="25" t="s">
        <v>205</v>
      </c>
      <c r="B88" s="21" t="s">
        <v>159</v>
      </c>
      <c r="C88" s="22" t="s">
        <v>158</v>
      </c>
      <c r="D88" s="19" t="s">
        <v>2</v>
      </c>
      <c r="E88" s="34">
        <f>1.4+2</f>
        <v>3.4</v>
      </c>
      <c r="F88" s="31">
        <v>13.43</v>
      </c>
      <c r="G88" s="32">
        <v>29.997746200000002</v>
      </c>
      <c r="H88" s="32">
        <f t="shared" si="111"/>
        <v>45.661999999999999</v>
      </c>
      <c r="I88" s="9">
        <v>31.26</v>
      </c>
      <c r="J88" s="10">
        <v>69.799414100000007</v>
      </c>
      <c r="K88" s="10">
        <f t="shared" si="112"/>
        <v>106.28400000000001</v>
      </c>
      <c r="L88" s="31">
        <v>0.03</v>
      </c>
      <c r="M88" s="32">
        <v>6.7613199999999998E-2</v>
      </c>
      <c r="N88" s="32">
        <f t="shared" si="113"/>
        <v>0.10199999999999999</v>
      </c>
      <c r="O88" s="9"/>
      <c r="P88" s="10"/>
      <c r="Q88" s="10">
        <f t="shared" si="114"/>
        <v>0</v>
      </c>
      <c r="R88" s="31">
        <v>0.06</v>
      </c>
      <c r="S88" s="32">
        <v>0.1352265</v>
      </c>
      <c r="T88" s="32">
        <f t="shared" si="115"/>
        <v>0.20399999999999999</v>
      </c>
      <c r="U88" s="9">
        <f t="shared" si="116"/>
        <v>44.78</v>
      </c>
      <c r="V88" s="9">
        <f t="shared" si="117"/>
        <v>152.25200000000001</v>
      </c>
      <c r="X88" s="27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4"/>
      <c r="AV88" s="14"/>
    </row>
    <row r="89" spans="1:48" ht="25.5" x14ac:dyDescent="0.2">
      <c r="A89" s="25" t="s">
        <v>220</v>
      </c>
      <c r="B89" s="21" t="s">
        <v>161</v>
      </c>
      <c r="C89" s="22" t="s">
        <v>160</v>
      </c>
      <c r="D89" s="19" t="s">
        <v>2</v>
      </c>
      <c r="E89" s="34"/>
      <c r="F89" s="31">
        <v>5.19</v>
      </c>
      <c r="G89" s="32">
        <v>27.307069599999998</v>
      </c>
      <c r="H89" s="32">
        <f t="shared" si="111"/>
        <v>0</v>
      </c>
      <c r="I89" s="9">
        <v>13.82</v>
      </c>
      <c r="J89" s="10">
        <v>72.584997400000006</v>
      </c>
      <c r="K89" s="10">
        <f t="shared" si="112"/>
        <v>0</v>
      </c>
      <c r="L89" s="31"/>
      <c r="M89" s="32"/>
      <c r="N89" s="32">
        <f t="shared" si="113"/>
        <v>0</v>
      </c>
      <c r="O89" s="9"/>
      <c r="P89" s="10"/>
      <c r="Q89" s="10">
        <f t="shared" si="114"/>
        <v>0</v>
      </c>
      <c r="R89" s="31">
        <v>0.02</v>
      </c>
      <c r="S89" s="32">
        <v>0.107933</v>
      </c>
      <c r="T89" s="32">
        <f t="shared" si="115"/>
        <v>0</v>
      </c>
      <c r="U89" s="9">
        <f t="shared" si="116"/>
        <v>19.03</v>
      </c>
      <c r="V89" s="9">
        <f t="shared" si="117"/>
        <v>0</v>
      </c>
      <c r="X89" s="27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4"/>
      <c r="AV89" s="14"/>
    </row>
    <row r="90" spans="1:48" ht="15.75" x14ac:dyDescent="0.2">
      <c r="A90" s="61" t="s">
        <v>191</v>
      </c>
      <c r="B90" s="61"/>
      <c r="C90" s="61"/>
      <c r="D90" s="61"/>
      <c r="E90" s="61"/>
      <c r="F90" s="62">
        <f>SUM(H84:H89)</f>
        <v>123.1541</v>
      </c>
      <c r="G90" s="62"/>
      <c r="H90" s="51">
        <f>F90/U90</f>
        <v>0.24584502796730962</v>
      </c>
      <c r="I90" s="62">
        <f>SUM(K84:K89)</f>
        <v>338.6866</v>
      </c>
      <c r="J90" s="62"/>
      <c r="K90" s="51">
        <f>I90/U90</f>
        <v>0.67609942867637374</v>
      </c>
      <c r="L90" s="62">
        <f>SUM(N84:N89)</f>
        <v>0.35399999999999993</v>
      </c>
      <c r="M90" s="62"/>
      <c r="N90" s="51">
        <f>L90/U90</f>
        <v>7.0666863628923097E-4</v>
      </c>
      <c r="O90" s="62">
        <f>SUM(Q84:Q89)</f>
        <v>34.898399999999995</v>
      </c>
      <c r="P90" s="62"/>
      <c r="Q90" s="51">
        <f>O90/U90</f>
        <v>6.9665550103604812E-2</v>
      </c>
      <c r="R90" s="62">
        <f>SUM(T84:T89)</f>
        <v>3.8489</v>
      </c>
      <c r="S90" s="62"/>
      <c r="T90" s="51">
        <f>R90/U90</f>
        <v>7.6833246164226604E-3</v>
      </c>
      <c r="U90" s="63">
        <f>SUM(V84:V89)</f>
        <v>500.94199999999995</v>
      </c>
      <c r="V90" s="63"/>
      <c r="X90" s="27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4"/>
      <c r="AV90" s="14"/>
    </row>
    <row r="91" spans="1:48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X91" s="27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4"/>
      <c r="AV91" s="14"/>
    </row>
    <row r="92" spans="1:48" x14ac:dyDescent="0.2">
      <c r="A92" s="42" t="s">
        <v>33</v>
      </c>
      <c r="B92" s="43"/>
      <c r="C92" s="44" t="s">
        <v>208</v>
      </c>
      <c r="D92" s="60"/>
      <c r="E92" s="60"/>
      <c r="F92" s="60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41"/>
      <c r="X92" s="27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4"/>
      <c r="AV92" s="14"/>
    </row>
    <row r="93" spans="1:48" ht="63.75" x14ac:dyDescent="0.2">
      <c r="A93" s="25" t="s">
        <v>110</v>
      </c>
      <c r="B93" s="21" t="s">
        <v>149</v>
      </c>
      <c r="C93" s="22" t="s">
        <v>150</v>
      </c>
      <c r="D93" s="23" t="s">
        <v>91</v>
      </c>
      <c r="E93" s="34">
        <f>2+4+4</f>
        <v>10</v>
      </c>
      <c r="F93" s="31">
        <v>39.26</v>
      </c>
      <c r="G93" s="32">
        <f>(F93/U93)*100</f>
        <v>27.177073238266651</v>
      </c>
      <c r="H93" s="32">
        <f t="shared" ref="H93:H96" si="124">F93*E93</f>
        <v>392.59999999999997</v>
      </c>
      <c r="I93" s="9">
        <v>55.7</v>
      </c>
      <c r="J93" s="10">
        <f>(I93/U93)*100</f>
        <v>38.557386127647796</v>
      </c>
      <c r="K93" s="10">
        <f t="shared" ref="K93:K96" si="125">I93*E93</f>
        <v>557</v>
      </c>
      <c r="L93" s="31"/>
      <c r="M93" s="32"/>
      <c r="N93" s="32">
        <f t="shared" ref="N93:N96" si="126">L93*E93</f>
        <v>0</v>
      </c>
      <c r="O93" s="9">
        <v>45.05</v>
      </c>
      <c r="P93" s="10">
        <f>(O93/U93)*100</f>
        <v>31.18510314273848</v>
      </c>
      <c r="Q93" s="10">
        <f t="shared" ref="Q93:Q96" si="127">O93*E93</f>
        <v>450.5</v>
      </c>
      <c r="R93" s="31">
        <v>4.45</v>
      </c>
      <c r="S93" s="32">
        <f>(R93/U93)*100</f>
        <v>3.0804374913470864</v>
      </c>
      <c r="T93" s="32">
        <f t="shared" ref="T93:T96" si="128">R93*E93</f>
        <v>44.5</v>
      </c>
      <c r="U93" s="9">
        <f t="shared" ref="U93:U96" si="129">F93+I93+L93+O93+R93</f>
        <v>144.45999999999998</v>
      </c>
      <c r="V93" s="9">
        <f t="shared" ref="V93:V96" si="130">U93*E93</f>
        <v>1444.6</v>
      </c>
      <c r="X93" s="27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4"/>
      <c r="AV93" s="14"/>
    </row>
    <row r="94" spans="1:48" ht="60" customHeight="1" x14ac:dyDescent="0.2">
      <c r="A94" s="25" t="s">
        <v>202</v>
      </c>
      <c r="B94" s="21" t="s">
        <v>151</v>
      </c>
      <c r="C94" s="22" t="s">
        <v>152</v>
      </c>
      <c r="D94" s="23" t="s">
        <v>9</v>
      </c>
      <c r="E94" s="34">
        <f>1+1+1</f>
        <v>3</v>
      </c>
      <c r="F94" s="31">
        <v>10.95</v>
      </c>
      <c r="G94" s="32">
        <f>(F94/U94)*100</f>
        <v>11.122397155916708</v>
      </c>
      <c r="H94" s="32">
        <f t="shared" si="124"/>
        <v>32.849999999999994</v>
      </c>
      <c r="I94" s="9">
        <v>73.67</v>
      </c>
      <c r="J94" s="10">
        <f>(I94/U94)*100</f>
        <v>74.829862874555602</v>
      </c>
      <c r="K94" s="10">
        <f t="shared" si="125"/>
        <v>221.01</v>
      </c>
      <c r="L94" s="31"/>
      <c r="M94" s="32"/>
      <c r="N94" s="32">
        <f t="shared" si="126"/>
        <v>0</v>
      </c>
      <c r="O94" s="9">
        <v>12.56</v>
      </c>
      <c r="P94" s="10">
        <f>(O94/U94)*100</f>
        <v>12.757745048247843</v>
      </c>
      <c r="Q94" s="10">
        <f t="shared" si="127"/>
        <v>37.68</v>
      </c>
      <c r="R94" s="31">
        <v>1.27</v>
      </c>
      <c r="S94" s="32">
        <f>(R94/U94)*100</f>
        <v>1.2899949212798376</v>
      </c>
      <c r="T94" s="32">
        <f t="shared" si="128"/>
        <v>3.81</v>
      </c>
      <c r="U94" s="9">
        <f t="shared" si="129"/>
        <v>98.45</v>
      </c>
      <c r="V94" s="9">
        <f t="shared" si="130"/>
        <v>295.35000000000002</v>
      </c>
      <c r="X94" s="27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4"/>
      <c r="AV94" s="14"/>
    </row>
    <row r="95" spans="1:48" ht="60" customHeight="1" x14ac:dyDescent="0.2">
      <c r="A95" s="25" t="s">
        <v>203</v>
      </c>
      <c r="B95" s="21" t="s">
        <v>211</v>
      </c>
      <c r="C95" s="22" t="s">
        <v>209</v>
      </c>
      <c r="D95" s="23" t="s">
        <v>9</v>
      </c>
      <c r="E95" s="34">
        <f>2+2</f>
        <v>4</v>
      </c>
      <c r="F95" s="31">
        <v>52.34</v>
      </c>
      <c r="G95" s="32">
        <f>(F95/U95)*100</f>
        <v>21.444667513418285</v>
      </c>
      <c r="H95" s="32">
        <f t="shared" ref="H95" si="131">F95*E95</f>
        <v>209.36</v>
      </c>
      <c r="I95" s="9">
        <v>125.62</v>
      </c>
      <c r="J95" s="10">
        <f>(I95/U95)*100</f>
        <v>51.468840906297373</v>
      </c>
      <c r="K95" s="10">
        <f t="shared" ref="K95" si="132">I95*E95</f>
        <v>502.48</v>
      </c>
      <c r="L95" s="31"/>
      <c r="M95" s="32"/>
      <c r="N95" s="32">
        <f t="shared" ref="N95" si="133">L95*E95</f>
        <v>0</v>
      </c>
      <c r="O95" s="9">
        <v>60.05</v>
      </c>
      <c r="P95" s="10">
        <f>(O95/U95)*100</f>
        <v>24.603597328635228</v>
      </c>
      <c r="Q95" s="10">
        <f t="shared" ref="Q95" si="134">O95*E95</f>
        <v>240.2</v>
      </c>
      <c r="R95" s="31">
        <v>6.06</v>
      </c>
      <c r="S95" s="32">
        <f>(R95/U95)*100</f>
        <v>2.482894251649117</v>
      </c>
      <c r="T95" s="32">
        <f t="shared" ref="T95" si="135">R95*E95</f>
        <v>24.24</v>
      </c>
      <c r="U95" s="9">
        <f t="shared" ref="U95" si="136">F95+I95+L95+O95+R95</f>
        <v>244.07</v>
      </c>
      <c r="V95" s="9">
        <f t="shared" si="130"/>
        <v>976.28</v>
      </c>
      <c r="X95" s="27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4"/>
      <c r="AV95" s="14"/>
    </row>
    <row r="96" spans="1:48" ht="53.25" customHeight="1" x14ac:dyDescent="0.2">
      <c r="A96" s="20" t="s">
        <v>210</v>
      </c>
      <c r="B96" s="7" t="s">
        <v>153</v>
      </c>
      <c r="C96" s="17" t="s">
        <v>154</v>
      </c>
      <c r="D96" s="7" t="s">
        <v>9</v>
      </c>
      <c r="E96" s="34">
        <f>2+4+4</f>
        <v>10</v>
      </c>
      <c r="F96" s="31">
        <v>9.23</v>
      </c>
      <c r="G96" s="32">
        <v>38.4518828</v>
      </c>
      <c r="H96" s="32">
        <f t="shared" si="124"/>
        <v>92.300000000000011</v>
      </c>
      <c r="I96" s="9">
        <v>14.78</v>
      </c>
      <c r="J96" s="10">
        <v>61.5481172</v>
      </c>
      <c r="K96" s="10">
        <f t="shared" si="125"/>
        <v>147.79999999999998</v>
      </c>
      <c r="L96" s="31"/>
      <c r="M96" s="32"/>
      <c r="N96" s="32">
        <f t="shared" si="126"/>
        <v>0</v>
      </c>
      <c r="O96" s="9"/>
      <c r="P96" s="10"/>
      <c r="Q96" s="10">
        <f t="shared" si="127"/>
        <v>0</v>
      </c>
      <c r="R96" s="31"/>
      <c r="S96" s="32"/>
      <c r="T96" s="32">
        <f t="shared" si="128"/>
        <v>0</v>
      </c>
      <c r="U96" s="9">
        <f t="shared" si="129"/>
        <v>24.009999999999998</v>
      </c>
      <c r="V96" s="9">
        <f t="shared" si="130"/>
        <v>240.09999999999997</v>
      </c>
      <c r="X96" s="27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4"/>
      <c r="AV96" s="14"/>
    </row>
    <row r="97" spans="1:48" ht="15.75" x14ac:dyDescent="0.2">
      <c r="A97" s="61" t="s">
        <v>191</v>
      </c>
      <c r="B97" s="61"/>
      <c r="C97" s="61"/>
      <c r="D97" s="61"/>
      <c r="E97" s="61"/>
      <c r="F97" s="62">
        <f>SUM(H93:H96)</f>
        <v>727.1099999999999</v>
      </c>
      <c r="G97" s="62"/>
      <c r="H97" s="51">
        <f>F97/U97</f>
        <v>0.24595021530072761</v>
      </c>
      <c r="I97" s="62">
        <f>SUM(K93:K96)</f>
        <v>1428.29</v>
      </c>
      <c r="J97" s="62"/>
      <c r="K97" s="51">
        <f>I97/U97</f>
        <v>0.48312942059918895</v>
      </c>
      <c r="L97" s="62">
        <f>SUM(N93:N96)</f>
        <v>0</v>
      </c>
      <c r="M97" s="62"/>
      <c r="N97" s="51">
        <f>L97/U97</f>
        <v>0</v>
      </c>
      <c r="O97" s="62">
        <f>SUM(Q93:Q96)</f>
        <v>728.38</v>
      </c>
      <c r="P97" s="62"/>
      <c r="Q97" s="51">
        <f>O97/U97</f>
        <v>0.24637980198421697</v>
      </c>
      <c r="R97" s="62">
        <f>SUM(T93:T96)</f>
        <v>72.55</v>
      </c>
      <c r="S97" s="62"/>
      <c r="T97" s="51">
        <f>R97/U97</f>
        <v>2.4540562115866634E-2</v>
      </c>
      <c r="U97" s="63">
        <f>SUM(V93:V96)</f>
        <v>2956.3299999999995</v>
      </c>
      <c r="V97" s="63"/>
      <c r="X97" s="27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4"/>
      <c r="AV97" s="14"/>
    </row>
    <row r="98" spans="1:48" x14ac:dyDescent="0.2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4"/>
      <c r="X98" s="27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4"/>
      <c r="AV98" s="14"/>
    </row>
    <row r="99" spans="1:48" ht="15" customHeight="1" x14ac:dyDescent="0.2">
      <c r="A99" s="42" t="s">
        <v>200</v>
      </c>
      <c r="B99" s="43"/>
      <c r="C99" s="44" t="s">
        <v>39</v>
      </c>
      <c r="D99" s="60"/>
      <c r="E99" s="60"/>
      <c r="F99" s="60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41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4"/>
      <c r="AV99" s="14"/>
    </row>
    <row r="100" spans="1:48" ht="24" customHeight="1" x14ac:dyDescent="0.2">
      <c r="A100" s="25" t="s">
        <v>201</v>
      </c>
      <c r="B100" s="18" t="s">
        <v>41</v>
      </c>
      <c r="C100" s="22" t="s">
        <v>40</v>
      </c>
      <c r="D100" s="19" t="s">
        <v>0</v>
      </c>
      <c r="E100" s="34">
        <f>11.51+6.48+13.8+13.8+34.87+6.59+0.16</f>
        <v>87.210000000000008</v>
      </c>
      <c r="F100" s="31">
        <v>0.45</v>
      </c>
      <c r="G100" s="32">
        <f>(F100/U100)*100</f>
        <v>26.47058823529412</v>
      </c>
      <c r="H100" s="32">
        <f t="shared" ref="H100" si="137">F100*E100</f>
        <v>39.244500000000002</v>
      </c>
      <c r="I100" s="9">
        <v>0.67</v>
      </c>
      <c r="J100" s="10">
        <f>(I100/U100)*100</f>
        <v>39.411764705882355</v>
      </c>
      <c r="K100" s="10">
        <f t="shared" ref="K100" si="138">I100*E100</f>
        <v>58.430700000000009</v>
      </c>
      <c r="L100" s="31"/>
      <c r="M100" s="32"/>
      <c r="N100" s="32">
        <f t="shared" ref="N100" si="139">L100*E100</f>
        <v>0</v>
      </c>
      <c r="O100" s="9">
        <v>0.52</v>
      </c>
      <c r="P100" s="10">
        <f>(O100/U100)*100</f>
        <v>30.588235294117645</v>
      </c>
      <c r="Q100" s="10">
        <f t="shared" ref="Q100" si="140">O100*E100</f>
        <v>45.349200000000003</v>
      </c>
      <c r="R100" s="31">
        <v>0.06</v>
      </c>
      <c r="S100" s="32">
        <f>(R100/U100)*100</f>
        <v>3.5294117647058818</v>
      </c>
      <c r="T100" s="32">
        <f t="shared" ref="T100" si="141">R100*E100</f>
        <v>5.2326000000000006</v>
      </c>
      <c r="U100" s="9">
        <f t="shared" ref="U100" si="142">F100+I100+L100+O100+R100</f>
        <v>1.7000000000000002</v>
      </c>
      <c r="V100" s="9">
        <f t="shared" ref="V100" si="143">U100*E100</f>
        <v>148.25700000000003</v>
      </c>
      <c r="X100" s="11"/>
      <c r="Y100" s="2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4"/>
      <c r="AV100" s="14"/>
    </row>
    <row r="101" spans="1:48" ht="15.75" x14ac:dyDescent="0.2">
      <c r="A101" s="61" t="s">
        <v>191</v>
      </c>
      <c r="B101" s="61"/>
      <c r="C101" s="61"/>
      <c r="D101" s="61"/>
      <c r="E101" s="61"/>
      <c r="F101" s="62">
        <f>SUM(H100)</f>
        <v>39.244500000000002</v>
      </c>
      <c r="G101" s="62"/>
      <c r="H101" s="51">
        <f>F101/U101</f>
        <v>0.26470588235294112</v>
      </c>
      <c r="I101" s="62">
        <f>SUM(K100)</f>
        <v>58.430700000000009</v>
      </c>
      <c r="J101" s="62"/>
      <c r="K101" s="51">
        <f>I101/U101</f>
        <v>0.39411764705882352</v>
      </c>
      <c r="L101" s="62">
        <f>SUM(N100)</f>
        <v>0</v>
      </c>
      <c r="M101" s="62"/>
      <c r="N101" s="51">
        <f>L101/U101</f>
        <v>0</v>
      </c>
      <c r="O101" s="62">
        <f>SUM(Q100)</f>
        <v>45.349200000000003</v>
      </c>
      <c r="P101" s="62"/>
      <c r="Q101" s="51">
        <f>O101/U101</f>
        <v>0.30588235294117644</v>
      </c>
      <c r="R101" s="62">
        <f>SUM(T100)</f>
        <v>5.2326000000000006</v>
      </c>
      <c r="S101" s="62"/>
      <c r="T101" s="51">
        <f>R101/U101</f>
        <v>3.5294117647058816E-2</v>
      </c>
      <c r="U101" s="63">
        <f>SUM(V100)</f>
        <v>148.25700000000003</v>
      </c>
      <c r="V101" s="63"/>
      <c r="X101" s="28"/>
      <c r="Y101" s="2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4"/>
      <c r="AV101" s="14"/>
    </row>
    <row r="102" spans="1:48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X102" s="2"/>
      <c r="Y102" s="2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4"/>
      <c r="AV102" s="14"/>
    </row>
    <row r="103" spans="1:48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X103" s="2"/>
      <c r="Y103" s="2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4"/>
      <c r="AV103" s="14"/>
    </row>
    <row r="104" spans="1:48" ht="15" customHeight="1" x14ac:dyDescent="0.25">
      <c r="A104" s="81" t="s">
        <v>198</v>
      </c>
      <c r="B104" s="81"/>
      <c r="C104" s="81"/>
      <c r="D104" s="81"/>
      <c r="E104" s="81"/>
      <c r="F104" s="79">
        <f>(F101+F97+F90+F81+F71+F59+F55+F48+F42+F32)*1.235</f>
        <v>6714.0519355000006</v>
      </c>
      <c r="G104" s="80"/>
      <c r="H104" s="50">
        <f>F104/U104</f>
        <v>0.18146687579358681</v>
      </c>
      <c r="I104" s="79">
        <f>(I101+I97+I90+I81+I71+I59+I55+I48+I42+I32)*1.235</f>
        <v>24517.368200000004</v>
      </c>
      <c r="J104" s="80"/>
      <c r="K104" s="50">
        <f>I104/U104</f>
        <v>0.66265352914695741</v>
      </c>
      <c r="L104" s="79">
        <f>(L101+L97+L90+L81+L71+L59+L55+L48+L42+L32)*1.235</f>
        <v>36.617132499999997</v>
      </c>
      <c r="M104" s="80"/>
      <c r="N104" s="50">
        <f>L104/U104</f>
        <v>9.8968502167238103E-4</v>
      </c>
      <c r="O104" s="79">
        <f>(O101+O90+O81+O71+O59+O55+O48+O42+O32+O97)*1.235</f>
        <v>5219.2857405000013</v>
      </c>
      <c r="P104" s="80"/>
      <c r="Q104" s="50">
        <f>O104/U104</f>
        <v>0.1410664508260196</v>
      </c>
      <c r="R104" s="79">
        <f>(R101+R97+R90+R81+R71+R59+R55+R48+R42+R32)*1.235</f>
        <v>511.45104400000014</v>
      </c>
      <c r="S104" s="80"/>
      <c r="T104" s="50">
        <f>R104/U104</f>
        <v>1.3823459211763841E-2</v>
      </c>
      <c r="U104" s="79">
        <f>(U101+U97+U90+U81+U71+U59+U55+U48+U42+U32)*1.235</f>
        <v>36998.774052500004</v>
      </c>
      <c r="V104" s="80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4"/>
      <c r="AV104" s="14"/>
    </row>
    <row r="105" spans="1:48" x14ac:dyDescent="0.2">
      <c r="A105" s="81"/>
      <c r="B105" s="81"/>
      <c r="C105" s="81"/>
      <c r="D105" s="81"/>
      <c r="E105" s="81"/>
      <c r="F105" s="78" t="s">
        <v>219</v>
      </c>
      <c r="G105" s="78"/>
      <c r="H105" s="78"/>
      <c r="I105" s="78" t="s">
        <v>218</v>
      </c>
      <c r="J105" s="78"/>
      <c r="K105" s="78"/>
      <c r="L105" s="78" t="s">
        <v>217</v>
      </c>
      <c r="M105" s="78"/>
      <c r="N105" s="78"/>
      <c r="O105" s="78" t="s">
        <v>216</v>
      </c>
      <c r="P105" s="78"/>
      <c r="Q105" s="78"/>
      <c r="R105" s="78" t="s">
        <v>215</v>
      </c>
      <c r="S105" s="78"/>
      <c r="T105" s="78"/>
      <c r="U105" s="78" t="s">
        <v>214</v>
      </c>
      <c r="V105" s="78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4"/>
      <c r="AV105" s="14"/>
    </row>
    <row r="106" spans="1:48" x14ac:dyDescent="0.2"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4"/>
      <c r="AV106" s="14"/>
    </row>
    <row r="107" spans="1:48" ht="15.75" x14ac:dyDescent="0.2">
      <c r="R107" s="37"/>
      <c r="S107" s="38"/>
      <c r="T107" s="38"/>
      <c r="U107" s="64"/>
      <c r="V107" s="64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4"/>
      <c r="AV107" s="14"/>
    </row>
    <row r="108" spans="1:48" x14ac:dyDescent="0.2">
      <c r="P108" s="35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4"/>
      <c r="AV108" s="14"/>
    </row>
    <row r="109" spans="1:48" x14ac:dyDescent="0.2">
      <c r="V109" s="64">
        <f>U104+3800</f>
        <v>40798.774052500004</v>
      </c>
      <c r="W109" s="64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4"/>
      <c r="AV109" s="14"/>
    </row>
    <row r="110" spans="1:48" x14ac:dyDescent="0.2">
      <c r="I110" s="64"/>
      <c r="J110" s="64"/>
      <c r="N110" s="64">
        <f>F104+I104+L104+O104+R104</f>
        <v>36998.774052500004</v>
      </c>
      <c r="O110" s="59"/>
      <c r="T110" s="35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4"/>
      <c r="AV110" s="14"/>
    </row>
    <row r="111" spans="1:48" x14ac:dyDescent="0.2">
      <c r="N111" s="58">
        <f>H104+K104+N104+Q104+T104</f>
        <v>1</v>
      </c>
      <c r="O111" s="59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4"/>
      <c r="AV111" s="14"/>
    </row>
    <row r="112" spans="1:48" x14ac:dyDescent="0.2">
      <c r="V112" s="64">
        <f>V109-59000</f>
        <v>-18201.225947499996</v>
      </c>
      <c r="W112" s="64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4"/>
      <c r="AV112" s="14"/>
    </row>
    <row r="113" spans="15:48" x14ac:dyDescent="0.2">
      <c r="O113" s="58"/>
      <c r="P113" s="59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4"/>
      <c r="AV113" s="14"/>
    </row>
    <row r="114" spans="15:48" x14ac:dyDescent="0.2">
      <c r="O114" s="59"/>
      <c r="P114" s="59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4"/>
      <c r="AV114" s="14"/>
    </row>
    <row r="115" spans="15:48" x14ac:dyDescent="0.2"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4"/>
      <c r="AV115" s="14"/>
    </row>
    <row r="116" spans="15:48" x14ac:dyDescent="0.2"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4"/>
      <c r="AV116" s="14"/>
    </row>
    <row r="117" spans="15:48" x14ac:dyDescent="0.2"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4"/>
      <c r="AV117" s="14"/>
    </row>
    <row r="118" spans="15:48" x14ac:dyDescent="0.2"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4"/>
      <c r="AV118" s="14"/>
    </row>
    <row r="119" spans="15:48" x14ac:dyDescent="0.2"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4"/>
      <c r="AV119" s="14"/>
    </row>
    <row r="120" spans="15:48" x14ac:dyDescent="0.2"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4"/>
      <c r="AV120" s="14"/>
    </row>
    <row r="121" spans="15:48" x14ac:dyDescent="0.2"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4"/>
      <c r="AV121" s="14"/>
    </row>
    <row r="122" spans="15:48" x14ac:dyDescent="0.2"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4"/>
      <c r="AV122" s="14"/>
    </row>
    <row r="123" spans="15:48" x14ac:dyDescent="0.2"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4"/>
      <c r="AV123" s="14"/>
    </row>
    <row r="124" spans="15:48" x14ac:dyDescent="0.2"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4"/>
      <c r="AV124" s="14"/>
    </row>
    <row r="125" spans="15:48" x14ac:dyDescent="0.2"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4"/>
      <c r="AV125" s="14"/>
    </row>
    <row r="126" spans="15:48" x14ac:dyDescent="0.2"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4"/>
      <c r="AV126" s="14"/>
    </row>
    <row r="127" spans="15:48" x14ac:dyDescent="0.2"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4"/>
      <c r="AV127" s="14"/>
    </row>
    <row r="128" spans="15:48" x14ac:dyDescent="0.2"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4"/>
      <c r="AV128" s="14"/>
    </row>
    <row r="129" spans="27:48" x14ac:dyDescent="0.2"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4"/>
      <c r="AV129" s="14"/>
    </row>
    <row r="130" spans="27:48" x14ac:dyDescent="0.2"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4"/>
      <c r="AV130" s="14"/>
    </row>
    <row r="131" spans="27:48" x14ac:dyDescent="0.2"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4"/>
      <c r="AV131" s="14"/>
    </row>
    <row r="132" spans="27:48" x14ac:dyDescent="0.2"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4"/>
      <c r="AV132" s="14"/>
    </row>
    <row r="133" spans="27:48" x14ac:dyDescent="0.2"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4"/>
      <c r="AV133" s="14"/>
    </row>
    <row r="134" spans="27:48" x14ac:dyDescent="0.2"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4"/>
      <c r="AV134" s="14"/>
    </row>
    <row r="135" spans="27:48" x14ac:dyDescent="0.2"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4"/>
      <c r="AV135" s="14"/>
    </row>
    <row r="136" spans="27:48" x14ac:dyDescent="0.2"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4"/>
      <c r="AV136" s="14"/>
    </row>
    <row r="137" spans="27:48" x14ac:dyDescent="0.2"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4"/>
      <c r="AV137" s="14"/>
    </row>
    <row r="138" spans="27:48" x14ac:dyDescent="0.2"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4"/>
      <c r="AV138" s="14"/>
    </row>
    <row r="139" spans="27:48" x14ac:dyDescent="0.2"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4"/>
      <c r="AV139" s="14"/>
    </row>
    <row r="140" spans="27:48" x14ac:dyDescent="0.2"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4"/>
      <c r="AV140" s="14"/>
    </row>
    <row r="141" spans="27:48" x14ac:dyDescent="0.2"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4"/>
      <c r="AV141" s="14"/>
    </row>
    <row r="142" spans="27:48" x14ac:dyDescent="0.2"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4"/>
      <c r="AV142" s="14"/>
    </row>
    <row r="143" spans="27:48" x14ac:dyDescent="0.2"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4"/>
      <c r="AV143" s="14"/>
    </row>
    <row r="144" spans="27:48" x14ac:dyDescent="0.2"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4"/>
      <c r="AV144" s="14"/>
    </row>
    <row r="145" spans="27:48" x14ac:dyDescent="0.2"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4"/>
      <c r="AV145" s="14"/>
    </row>
    <row r="146" spans="27:48" x14ac:dyDescent="0.2"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4"/>
      <c r="AV146" s="14"/>
    </row>
    <row r="147" spans="27:48" x14ac:dyDescent="0.2"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4"/>
      <c r="AV147" s="14"/>
    </row>
    <row r="148" spans="27:48" x14ac:dyDescent="0.2"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4"/>
      <c r="AV148" s="14"/>
    </row>
    <row r="149" spans="27:48" x14ac:dyDescent="0.2"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4"/>
      <c r="AV149" s="14"/>
    </row>
    <row r="150" spans="27:48" x14ac:dyDescent="0.2"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4"/>
      <c r="AV150" s="14"/>
    </row>
    <row r="151" spans="27:48" x14ac:dyDescent="0.2"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4"/>
      <c r="AV151" s="14"/>
    </row>
    <row r="152" spans="27:48" x14ac:dyDescent="0.2"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4"/>
      <c r="AV152" s="14"/>
    </row>
    <row r="153" spans="27:48" x14ac:dyDescent="0.2"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4"/>
      <c r="AV153" s="14"/>
    </row>
    <row r="154" spans="27:48" x14ac:dyDescent="0.2"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4"/>
      <c r="AV154" s="14"/>
    </row>
    <row r="155" spans="27:48" x14ac:dyDescent="0.2"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4"/>
      <c r="AV155" s="14"/>
    </row>
    <row r="156" spans="27:48" x14ac:dyDescent="0.2"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4"/>
      <c r="AV156" s="14"/>
    </row>
    <row r="157" spans="27:48" x14ac:dyDescent="0.2"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4"/>
      <c r="AV157" s="14"/>
    </row>
    <row r="158" spans="27:48" x14ac:dyDescent="0.2"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4"/>
      <c r="AV158" s="14"/>
    </row>
    <row r="159" spans="27:48" x14ac:dyDescent="0.2"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4"/>
      <c r="AV159" s="14"/>
    </row>
    <row r="160" spans="27:48" x14ac:dyDescent="0.2"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</row>
    <row r="161" spans="27:46" x14ac:dyDescent="0.2"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</row>
    <row r="162" spans="27:46" x14ac:dyDescent="0.2"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</row>
    <row r="163" spans="27:46" x14ac:dyDescent="0.2"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</row>
  </sheetData>
  <mergeCells count="132">
    <mergeCell ref="A6:I6"/>
    <mergeCell ref="N111:O111"/>
    <mergeCell ref="A98:V98"/>
    <mergeCell ref="A102:V103"/>
    <mergeCell ref="A8:V9"/>
    <mergeCell ref="A11:V11"/>
    <mergeCell ref="A49:V49"/>
    <mergeCell ref="A56:V56"/>
    <mergeCell ref="A60:V60"/>
    <mergeCell ref="A72:V72"/>
    <mergeCell ref="A82:V82"/>
    <mergeCell ref="R101:S101"/>
    <mergeCell ref="U101:V101"/>
    <mergeCell ref="A101:E101"/>
    <mergeCell ref="F101:G101"/>
    <mergeCell ref="I101:J101"/>
    <mergeCell ref="L101:M101"/>
    <mergeCell ref="O101:P101"/>
    <mergeCell ref="R90:S90"/>
    <mergeCell ref="U90:V90"/>
    <mergeCell ref="A97:E97"/>
    <mergeCell ref="F97:G97"/>
    <mergeCell ref="I97:J97"/>
    <mergeCell ref="L97:M97"/>
    <mergeCell ref="O97:P97"/>
    <mergeCell ref="F71:G71"/>
    <mergeCell ref="I71:J71"/>
    <mergeCell ref="L71:M71"/>
    <mergeCell ref="O71:P71"/>
    <mergeCell ref="R97:S97"/>
    <mergeCell ref="R105:T105"/>
    <mergeCell ref="A104:E105"/>
    <mergeCell ref="U105:V105"/>
    <mergeCell ref="U97:V97"/>
    <mergeCell ref="I110:J110"/>
    <mergeCell ref="U107:V107"/>
    <mergeCell ref="F105:H105"/>
    <mergeCell ref="I105:K105"/>
    <mergeCell ref="L105:N105"/>
    <mergeCell ref="O105:Q105"/>
    <mergeCell ref="F104:G104"/>
    <mergeCell ref="I104:J104"/>
    <mergeCell ref="L104:M104"/>
    <mergeCell ref="O104:P104"/>
    <mergeCell ref="R104:S104"/>
    <mergeCell ref="U104:V104"/>
    <mergeCell ref="N110:O110"/>
    <mergeCell ref="O59:P59"/>
    <mergeCell ref="R59:S59"/>
    <mergeCell ref="U59:V59"/>
    <mergeCell ref="A55:E55"/>
    <mergeCell ref="F55:G55"/>
    <mergeCell ref="I55:J55"/>
    <mergeCell ref="L55:M55"/>
    <mergeCell ref="O55:P55"/>
    <mergeCell ref="A91:V91"/>
    <mergeCell ref="A90:E90"/>
    <mergeCell ref="F90:G90"/>
    <mergeCell ref="I90:J90"/>
    <mergeCell ref="L90:M90"/>
    <mergeCell ref="O90:P90"/>
    <mergeCell ref="R71:S71"/>
    <mergeCell ref="U71:V71"/>
    <mergeCell ref="A81:E81"/>
    <mergeCell ref="F81:G81"/>
    <mergeCell ref="I81:J81"/>
    <mergeCell ref="L81:M81"/>
    <mergeCell ref="O81:P81"/>
    <mergeCell ref="R81:S81"/>
    <mergeCell ref="U81:V81"/>
    <mergeCell ref="A71:E71"/>
    <mergeCell ref="A4:V4"/>
    <mergeCell ref="A7:V7"/>
    <mergeCell ref="A5:V5"/>
    <mergeCell ref="A1:V1"/>
    <mergeCell ref="A3:V3"/>
    <mergeCell ref="U10:V10"/>
    <mergeCell ref="A10:T10"/>
    <mergeCell ref="D34:F34"/>
    <mergeCell ref="D44:F44"/>
    <mergeCell ref="A42:E42"/>
    <mergeCell ref="F42:G42"/>
    <mergeCell ref="R42:S42"/>
    <mergeCell ref="U42:V42"/>
    <mergeCell ref="A43:V43"/>
    <mergeCell ref="I42:J42"/>
    <mergeCell ref="L42:M42"/>
    <mergeCell ref="O42:P42"/>
    <mergeCell ref="C12:C13"/>
    <mergeCell ref="B12:B13"/>
    <mergeCell ref="A12:A13"/>
    <mergeCell ref="D12:D13"/>
    <mergeCell ref="E12:E13"/>
    <mergeCell ref="U12:U14"/>
    <mergeCell ref="V12:V14"/>
    <mergeCell ref="F12:S12"/>
    <mergeCell ref="F13:H13"/>
    <mergeCell ref="I13:K13"/>
    <mergeCell ref="L13:N13"/>
    <mergeCell ref="O13:Q13"/>
    <mergeCell ref="R13:T13"/>
    <mergeCell ref="A32:E32"/>
    <mergeCell ref="U32:V32"/>
    <mergeCell ref="F32:G32"/>
    <mergeCell ref="I32:J32"/>
    <mergeCell ref="L32:M32"/>
    <mergeCell ref="R32:S32"/>
    <mergeCell ref="O32:P32"/>
    <mergeCell ref="A33:V33"/>
    <mergeCell ref="O113:P114"/>
    <mergeCell ref="D50:F50"/>
    <mergeCell ref="D57:F57"/>
    <mergeCell ref="D61:F61"/>
    <mergeCell ref="D73:F73"/>
    <mergeCell ref="D83:F83"/>
    <mergeCell ref="D99:F99"/>
    <mergeCell ref="D92:F92"/>
    <mergeCell ref="A48:E48"/>
    <mergeCell ref="F48:G48"/>
    <mergeCell ref="I48:J48"/>
    <mergeCell ref="L48:M48"/>
    <mergeCell ref="O48:P48"/>
    <mergeCell ref="R48:S48"/>
    <mergeCell ref="U48:V48"/>
    <mergeCell ref="R55:S55"/>
    <mergeCell ref="V109:W109"/>
    <mergeCell ref="V112:W112"/>
    <mergeCell ref="U55:V55"/>
    <mergeCell ref="A59:E59"/>
    <mergeCell ref="F59:G59"/>
    <mergeCell ref="I59:J59"/>
    <mergeCell ref="L59:M59"/>
  </mergeCells>
  <phoneticPr fontId="3" type="noConversion"/>
  <pageMargins left="0.70866141732283472" right="0.31496062992125984" top="0.78740157480314965" bottom="0.59055118110236227" header="0.31496062992125984" footer="0.31496062992125984"/>
  <pageSetup paperSize="9" scale="62" orientation="landscape" r:id="rId1"/>
  <rowBreaks count="4" manualBreakCount="4">
    <brk id="28" max="21" man="1"/>
    <brk id="43" max="21" man="1"/>
    <brk id="59" max="21" man="1"/>
    <brk id="78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Planilha1</vt:lpstr>
      <vt:lpstr>Planilha1!Area_de_impressao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 da Silva</cp:lastModifiedBy>
  <cp:lastPrinted>2019-09-19T18:08:26Z</cp:lastPrinted>
  <dcterms:created xsi:type="dcterms:W3CDTF">2019-04-30T13:37:49Z</dcterms:created>
  <dcterms:modified xsi:type="dcterms:W3CDTF">2019-11-22T13:42:21Z</dcterms:modified>
</cp:coreProperties>
</file>